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ecom.sharepoint.com/sites/VAFBAB2588/Shared Documents/General/Submittal to SBCAPCD Jan 2023/ATEIR/App C - Emissions/"/>
    </mc:Choice>
  </mc:AlternateContent>
  <xr:revisionPtr revIDLastSave="1" documentId="13_ncr:1_{D7DBC10A-5526-46FB-B26D-0AF7EACE4865}" xr6:coauthVersionLast="47" xr6:coauthVersionMax="47" xr10:uidLastSave="{200E6CDC-19BC-4DB6-9E3E-F4EF9B3A9DC7}"/>
  <bookViews>
    <workbookView xWindow="-28920" yWindow="-90" windowWidth="29040" windowHeight="15840" activeTab="2" xr2:uid="{00000000-000D-0000-FFFF-FFFF00000000}"/>
  </bookViews>
  <sheets>
    <sheet name="Annual" sheetId="1" r:id="rId1"/>
    <sheet name="Hourly" sheetId="2" state="hidden" r:id="rId2"/>
    <sheet name="Hourly (2)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6" i="3" l="1"/>
  <c r="F29" i="3"/>
  <c r="E29" i="3"/>
  <c r="D29" i="3"/>
  <c r="J27" i="1"/>
  <c r="I27" i="1"/>
  <c r="H27" i="1"/>
  <c r="G27" i="1"/>
  <c r="F27" i="1"/>
  <c r="E27" i="1"/>
  <c r="D27" i="1"/>
  <c r="D36" i="3"/>
  <c r="F25" i="3"/>
  <c r="E26" i="3"/>
  <c r="F27" i="3"/>
  <c r="E28" i="3"/>
  <c r="D25" i="3"/>
  <c r="P9" i="1"/>
  <c r="Q9" i="1"/>
  <c r="R9" i="1"/>
  <c r="S9" i="1"/>
  <c r="T9" i="1"/>
  <c r="U9" i="1"/>
  <c r="O9" i="1"/>
  <c r="E32" i="1"/>
  <c r="F32" i="1"/>
  <c r="G32" i="1"/>
  <c r="H32" i="1"/>
  <c r="I32" i="1"/>
  <c r="J32" i="1"/>
  <c r="E33" i="1"/>
  <c r="F33" i="1"/>
  <c r="G33" i="1"/>
  <c r="H33" i="1"/>
  <c r="I33" i="1"/>
  <c r="J33" i="1"/>
  <c r="E34" i="1"/>
  <c r="F34" i="1"/>
  <c r="G34" i="1"/>
  <c r="H34" i="1"/>
  <c r="I34" i="1"/>
  <c r="J34" i="1"/>
  <c r="E35" i="1"/>
  <c r="F35" i="1"/>
  <c r="G35" i="1"/>
  <c r="H35" i="1"/>
  <c r="I35" i="1"/>
  <c r="J35" i="1"/>
  <c r="E36" i="1"/>
  <c r="F36" i="1"/>
  <c r="G36" i="1"/>
  <c r="H36" i="1"/>
  <c r="I36" i="1"/>
  <c r="J36" i="1"/>
  <c r="D36" i="1"/>
  <c r="D35" i="1"/>
  <c r="D34" i="1"/>
  <c r="D33" i="1"/>
  <c r="D24" i="1"/>
  <c r="D25" i="1"/>
  <c r="D32" i="1"/>
  <c r="I26" i="1"/>
  <c r="I23" i="1"/>
  <c r="E24" i="1"/>
  <c r="F24" i="1"/>
  <c r="E25" i="1"/>
  <c r="G25" i="1"/>
  <c r="H25" i="1"/>
  <c r="J26" i="1"/>
  <c r="D23" i="1"/>
  <c r="O18" i="1"/>
  <c r="N18" i="1"/>
  <c r="M18" i="1"/>
  <c r="H26" i="1" s="1"/>
  <c r="L18" i="1"/>
  <c r="G26" i="1" s="1"/>
  <c r="K18" i="1"/>
  <c r="F26" i="1" s="1"/>
  <c r="J18" i="1"/>
  <c r="E26" i="1" s="1"/>
  <c r="I18" i="1"/>
  <c r="D26" i="1" s="1"/>
  <c r="H18" i="1"/>
  <c r="J25" i="1" s="1"/>
  <c r="G18" i="1"/>
  <c r="I25" i="1" s="1"/>
  <c r="F18" i="1"/>
  <c r="H24" i="1" s="1"/>
  <c r="E18" i="1"/>
  <c r="G24" i="1" s="1"/>
  <c r="D18" i="1"/>
  <c r="F23" i="1" s="1"/>
  <c r="C18" i="1"/>
  <c r="E23" i="1" s="1"/>
  <c r="B18" i="1"/>
  <c r="G21" i="3"/>
  <c r="F37" i="3" s="1"/>
  <c r="F21" i="3"/>
  <c r="E37" i="3" s="1"/>
  <c r="E21" i="3"/>
  <c r="D37" i="3" s="1"/>
  <c r="D21" i="3"/>
  <c r="F36" i="3" s="1"/>
  <c r="C21" i="3"/>
  <c r="E34" i="3" s="1"/>
  <c r="B21" i="3"/>
  <c r="D38" i="3" s="1"/>
  <c r="H16" i="3"/>
  <c r="D8" i="3" s="1"/>
  <c r="H15" i="3"/>
  <c r="D7" i="3" s="1"/>
  <c r="H14" i="3"/>
  <c r="D6" i="3" s="1"/>
  <c r="D9" i="3"/>
  <c r="J9" i="3" s="1"/>
  <c r="H16" i="2"/>
  <c r="H15" i="2"/>
  <c r="H14" i="2"/>
  <c r="P6" i="1" l="1"/>
  <c r="D26" i="3"/>
  <c r="D27" i="3"/>
  <c r="E27" i="3"/>
  <c r="D28" i="3"/>
  <c r="F26" i="3"/>
  <c r="N6" i="3" s="1"/>
  <c r="D34" i="3"/>
  <c r="D35" i="3"/>
  <c r="E25" i="3"/>
  <c r="M6" i="3" s="1"/>
  <c r="F28" i="3"/>
  <c r="F34" i="3"/>
  <c r="E35" i="3"/>
  <c r="E36" i="3"/>
  <c r="F38" i="3"/>
  <c r="E38" i="3"/>
  <c r="Q6" i="1"/>
  <c r="O6" i="1"/>
  <c r="F25" i="1"/>
  <c r="J23" i="1"/>
  <c r="J24" i="1"/>
  <c r="H23" i="1"/>
  <c r="S6" i="1" s="1"/>
  <c r="I24" i="1"/>
  <c r="T6" i="1" s="1"/>
  <c r="G23" i="1"/>
  <c r="F35" i="3"/>
  <c r="I8" i="3"/>
  <c r="H8" i="3"/>
  <c r="G8" i="3"/>
  <c r="F8" i="3"/>
  <c r="E8" i="3"/>
  <c r="J8" i="3"/>
  <c r="I6" i="3"/>
  <c r="G6" i="3"/>
  <c r="F6" i="3"/>
  <c r="E6" i="3"/>
  <c r="J6" i="3"/>
  <c r="H6" i="3"/>
  <c r="J7" i="3"/>
  <c r="I7" i="3"/>
  <c r="H7" i="3"/>
  <c r="G7" i="3"/>
  <c r="F7" i="3"/>
  <c r="E7" i="3"/>
  <c r="H9" i="3"/>
  <c r="E9" i="3"/>
  <c r="F9" i="3"/>
  <c r="G9" i="3"/>
  <c r="I9" i="3"/>
  <c r="F7" i="1"/>
  <c r="G7" i="1" s="1"/>
  <c r="M9" i="3" l="1"/>
  <c r="L9" i="3"/>
  <c r="N9" i="3"/>
  <c r="U6" i="1"/>
  <c r="R6" i="1"/>
  <c r="D9" i="2"/>
  <c r="D7" i="2"/>
  <c r="D6" i="2" l="1"/>
  <c r="D8" i="2"/>
  <c r="J8" i="2" s="1"/>
  <c r="J7" i="2"/>
  <c r="I7" i="2"/>
  <c r="H7" i="2"/>
  <c r="G7" i="2"/>
  <c r="F7" i="2"/>
  <c r="E7" i="2"/>
  <c r="J9" i="2"/>
  <c r="I9" i="2"/>
  <c r="H9" i="2"/>
  <c r="G9" i="2"/>
  <c r="F9" i="2"/>
  <c r="E9" i="2"/>
  <c r="F9" i="1"/>
  <c r="G9" i="1" s="1"/>
  <c r="M9" i="1" s="1"/>
  <c r="M14" i="1" s="1"/>
  <c r="F8" i="1"/>
  <c r="G8" i="1" s="1"/>
  <c r="M8" i="1" s="1"/>
  <c r="M13" i="1" s="1"/>
  <c r="M7" i="1"/>
  <c r="M12" i="1" s="1"/>
  <c r="F6" i="1"/>
  <c r="G6" i="1" s="1"/>
  <c r="H6" i="1" s="1"/>
  <c r="H11" i="1" s="1"/>
  <c r="H8" i="2" l="1"/>
  <c r="E8" i="2"/>
  <c r="F8" i="2"/>
  <c r="G8" i="2"/>
  <c r="I8" i="2"/>
  <c r="E6" i="2"/>
  <c r="J6" i="2"/>
  <c r="I6" i="2"/>
  <c r="F6" i="2"/>
  <c r="H6" i="2"/>
  <c r="G6" i="2"/>
  <c r="K7" i="1"/>
  <c r="K12" i="1" s="1"/>
  <c r="J7" i="1"/>
  <c r="J12" i="1" s="1"/>
  <c r="H9" i="1"/>
  <c r="H14" i="1" s="1"/>
  <c r="J9" i="1"/>
  <c r="J14" i="1" s="1"/>
  <c r="K9" i="1"/>
  <c r="K14" i="1" s="1"/>
  <c r="I9" i="1"/>
  <c r="I14" i="1" s="1"/>
  <c r="L9" i="1"/>
  <c r="L14" i="1" s="1"/>
  <c r="I7" i="1"/>
  <c r="I12" i="1" s="1"/>
  <c r="L7" i="1"/>
  <c r="L12" i="1" s="1"/>
  <c r="H7" i="1"/>
  <c r="H12" i="1" s="1"/>
  <c r="M6" i="1"/>
  <c r="M11" i="1" s="1"/>
  <c r="I8" i="1"/>
  <c r="I13" i="1" s="1"/>
  <c r="J8" i="1"/>
  <c r="J13" i="1" s="1"/>
  <c r="L8" i="1"/>
  <c r="L13" i="1" s="1"/>
  <c r="H8" i="1"/>
  <c r="H13" i="1" s="1"/>
  <c r="K8" i="1"/>
  <c r="K13" i="1" s="1"/>
  <c r="I6" i="1"/>
  <c r="I11" i="1" s="1"/>
  <c r="J6" i="1"/>
  <c r="J11" i="1" s="1"/>
  <c r="K6" i="1"/>
  <c r="K11" i="1" s="1"/>
  <c r="L6" i="1"/>
  <c r="L1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Chaabane, Ramzi</author>
  </authors>
  <commentList>
    <comment ref="B27" authorId="0" shapeId="0" xr:uid="{A1E5C9F1-49AD-4B7E-9D42-FCC5F90376CF}">
      <text>
        <r>
          <rPr>
            <b/>
            <sz val="9"/>
            <color indexed="81"/>
            <rFont val="Tahoma"/>
            <family val="2"/>
          </rPr>
          <t>Chaabane, Ramzi:</t>
        </r>
        <r>
          <rPr>
            <sz val="9"/>
            <color indexed="81"/>
            <rFont val="Tahoma"/>
            <family val="2"/>
          </rPr>
          <t xml:space="preserve">
(lb/year-per hose)</t>
        </r>
      </text>
    </comment>
    <comment ref="B36" authorId="0" shapeId="0" xr:uid="{8090D553-3F72-441F-A495-F1317F4D8325}">
      <text>
        <r>
          <rPr>
            <b/>
            <sz val="9"/>
            <color indexed="81"/>
            <rFont val="Tahoma"/>
            <family val="2"/>
          </rPr>
          <t>Chaabane, Ramzi:</t>
        </r>
        <r>
          <rPr>
            <sz val="9"/>
            <color indexed="81"/>
            <rFont val="Tahoma"/>
            <family val="2"/>
          </rPr>
          <t xml:space="preserve">
(lb/year-per hose)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Chaabane, Ramzi</author>
  </authors>
  <commentList>
    <comment ref="A29" authorId="0" shapeId="0" xr:uid="{C115C18E-F5B3-4B36-8F73-997B63B34247}">
      <text>
        <r>
          <rPr>
            <b/>
            <sz val="9"/>
            <color indexed="81"/>
            <rFont val="Tahoma"/>
            <family val="2"/>
          </rPr>
          <t>Chaabane, Ramzi:</t>
        </r>
        <r>
          <rPr>
            <sz val="9"/>
            <color indexed="81"/>
            <rFont val="Tahoma"/>
            <family val="2"/>
          </rPr>
          <t xml:space="preserve">
(lb/day-per hose)</t>
        </r>
      </text>
    </comment>
    <comment ref="B29" authorId="0" shapeId="0" xr:uid="{3042B208-EF97-472C-B6A5-B764EFF3D2E8}">
      <text>
        <r>
          <rPr>
            <b/>
            <sz val="9"/>
            <color indexed="81"/>
            <rFont val="Tahoma"/>
            <family val="2"/>
          </rPr>
          <t>Chaabane, Ramzi:</t>
        </r>
        <r>
          <rPr>
            <sz val="9"/>
            <color indexed="81"/>
            <rFont val="Tahoma"/>
            <family val="2"/>
          </rPr>
          <t xml:space="preserve">
(lb/day-per hose)</t>
        </r>
      </text>
    </comment>
    <comment ref="A38" authorId="0" shapeId="0" xr:uid="{1C193022-D631-40AD-9FA3-0BA4B3B8DFA3}">
      <text>
        <r>
          <rPr>
            <b/>
            <sz val="9"/>
            <color indexed="81"/>
            <rFont val="Tahoma"/>
            <family val="2"/>
          </rPr>
          <t>Chaabane, Ramzi:</t>
        </r>
        <r>
          <rPr>
            <sz val="9"/>
            <color indexed="81"/>
            <rFont val="Tahoma"/>
            <family val="2"/>
          </rPr>
          <t xml:space="preserve">
(lb/day-per hose)</t>
        </r>
      </text>
    </comment>
    <comment ref="B38" authorId="0" shapeId="0" xr:uid="{7616CCE6-CAC5-4959-9BAF-1D30CDD6138C}">
      <text>
        <r>
          <rPr>
            <b/>
            <sz val="9"/>
            <color indexed="81"/>
            <rFont val="Tahoma"/>
            <family val="2"/>
          </rPr>
          <t>Chaabane, Ramzi:</t>
        </r>
        <r>
          <rPr>
            <sz val="9"/>
            <color indexed="81"/>
            <rFont val="Tahoma"/>
            <family val="2"/>
          </rPr>
          <t xml:space="preserve">
(lb/day-per hose)</t>
        </r>
      </text>
    </comment>
  </commentList>
</comments>
</file>

<file path=xl/sharedStrings.xml><?xml version="1.0" encoding="utf-8"?>
<sst xmlns="http://schemas.openxmlformats.org/spreadsheetml/2006/main" count="229" uniqueCount="58">
  <si>
    <t>BUILDING</t>
  </si>
  <si>
    <t>14400</t>
  </si>
  <si>
    <t>10726</t>
  </si>
  <si>
    <t>BQ = Activity Rate or Base Quantity (gal/year)</t>
  </si>
  <si>
    <t>Benzene</t>
  </si>
  <si>
    <t>n-Hexane</t>
  </si>
  <si>
    <t>Ethyl Benzene</t>
  </si>
  <si>
    <t>Toluene</t>
  </si>
  <si>
    <t>m-Xylenes</t>
  </si>
  <si>
    <t>1,2,4-Trimethylbenzene</t>
  </si>
  <si>
    <t>Fuel</t>
  </si>
  <si>
    <t>Gasoline</t>
  </si>
  <si>
    <t>E-85</t>
  </si>
  <si>
    <r>
      <t>E</t>
    </r>
    <r>
      <rPr>
        <vertAlign val="subscript"/>
        <sz val="11"/>
        <color theme="1"/>
        <rFont val="Calibri"/>
        <family val="2"/>
        <scheme val="minor"/>
      </rPr>
      <t>pH</t>
    </r>
    <r>
      <rPr>
        <sz val="11"/>
        <color theme="1"/>
        <rFont val="Calibri"/>
        <family val="2"/>
        <scheme val="minor"/>
      </rPr>
      <t xml:space="preserve"> = Emission for pollutant p (lb/hour)</t>
    </r>
  </si>
  <si>
    <t xml:space="preserve">Calculation ID </t>
  </si>
  <si>
    <t>Source Type</t>
  </si>
  <si>
    <t>Motor Vehicle Fueling Facility</t>
  </si>
  <si>
    <t>Sub Type</t>
  </si>
  <si>
    <t>Emissions</t>
  </si>
  <si>
    <t>lb/yr</t>
  </si>
  <si>
    <t>AB2588 Device ID</t>
  </si>
  <si>
    <t>EFp = Emission Factor for pollutant p (lb/1000 gal)</t>
  </si>
  <si>
    <t>lb/hr</t>
  </si>
  <si>
    <t>Gasoline and E-85</t>
  </si>
  <si>
    <t>ROC Emissions from hoses (lb/yr)</t>
  </si>
  <si>
    <t>ROC Emission Factor (lb/1000 gal)</t>
  </si>
  <si>
    <r>
      <t>EF</t>
    </r>
    <r>
      <rPr>
        <vertAlign val="subscript"/>
        <sz val="11"/>
        <color theme="1"/>
        <rFont val="Calibri"/>
        <family val="2"/>
        <scheme val="minor"/>
      </rPr>
      <t>fuel</t>
    </r>
    <r>
      <rPr>
        <sz val="11"/>
        <color theme="1"/>
        <rFont val="Calibri"/>
        <family val="2"/>
        <scheme val="minor"/>
      </rPr>
      <t xml:space="preserve"> 
(lb/1000 gal)
</t>
    </r>
  </si>
  <si>
    <t>PTEH = Potential to emit (lb/hour)</t>
  </si>
  <si>
    <t>Permitted Throughput (gal/day)</t>
  </si>
  <si>
    <t>ROC Potential to Emit (lb/hour) Based on permitted daily limit</t>
  </si>
  <si>
    <r>
      <t>E</t>
    </r>
    <r>
      <rPr>
        <b/>
        <vertAlign val="subscript"/>
        <sz val="12"/>
        <color theme="1"/>
        <rFont val="Calibri"/>
        <family val="2"/>
        <scheme val="minor"/>
      </rPr>
      <t>pY</t>
    </r>
    <r>
      <rPr>
        <b/>
        <sz val="12"/>
        <color theme="1"/>
        <rFont val="Calibri"/>
        <family val="2"/>
        <scheme val="minor"/>
      </rPr>
      <t xml:space="preserve"> = Emission for pollutant p (lb/year)</t>
    </r>
  </si>
  <si>
    <t>Xylenes</t>
  </si>
  <si>
    <t>Toxic Substance</t>
  </si>
  <si>
    <t>ROC Emission Factors</t>
  </si>
  <si>
    <t>Subcategory</t>
  </si>
  <si>
    <t>Loading</t>
  </si>
  <si>
    <t>Breathing</t>
  </si>
  <si>
    <t>Refueling</t>
  </si>
  <si>
    <t>Spillage</t>
  </si>
  <si>
    <t>Hose permeation</t>
  </si>
  <si>
    <t>ROC 
(lb/1000 gal)</t>
  </si>
  <si>
    <t>Phase I Loading Throughput (gal/hr)</t>
  </si>
  <si>
    <t>Phase II Estimated Hourly Throughput (gal/hr)</t>
  </si>
  <si>
    <t>Annual
Throughput
(Million gallons)</t>
  </si>
  <si>
    <t>Substance fraction in Vapor (lb/lb ROC)</t>
  </si>
  <si>
    <t>Substance fraction in Liquid (lb/lb ROC)</t>
  </si>
  <si>
    <t>1 - &lt;3 (mil GDF)</t>
  </si>
  <si>
    <t>3 - &lt;5 (AAFES)</t>
  </si>
  <si>
    <t>EFp = Emission for pollutant p (lb/yr) [Based on Revised Form 25]</t>
  </si>
  <si>
    <t>Naphthalene</t>
  </si>
  <si>
    <t>Propylene</t>
  </si>
  <si>
    <t>&lt;1</t>
  </si>
  <si>
    <t>109369 TAC Emissions (lb/yr)</t>
  </si>
  <si>
    <t>384085 TAC Emissions (lb/yr)</t>
  </si>
  <si>
    <t>&lt;1 (mil GDF Gasoline)</t>
  </si>
  <si>
    <t>109369 TAC Emissions (lb/hr)</t>
  </si>
  <si>
    <t>384085 TAC Emissions (lb/hr)</t>
  </si>
  <si>
    <r>
      <t>E</t>
    </r>
    <r>
      <rPr>
        <b/>
        <vertAlign val="subscript"/>
        <sz val="11"/>
        <color theme="1"/>
        <rFont val="Calibri"/>
        <family val="2"/>
        <scheme val="minor"/>
      </rPr>
      <t>pH</t>
    </r>
    <r>
      <rPr>
        <b/>
        <sz val="11"/>
        <color theme="1"/>
        <rFont val="Calibri"/>
        <family val="2"/>
        <scheme val="minor"/>
      </rPr>
      <t xml:space="preserve"> = Emission for pollutant p (lb/hour) [Based on Revised Form 25T]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</si>
</sst>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4" formatCode="0.000000"/>
    <numFmt numFmtId="165" formatCode="0.0000"/>
    <numFmt numFmtId="166" formatCode="_(* #,##0_);_(* \(#,##0\);_(* &quot;-&quot;??_);_(@_)"/>
    <numFmt numFmtId="167" formatCode="0.00000"/>
    <numFmt numFmtId="168" formatCode="0.00000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color rgb="FF000000"/>
      <name val="Calibri"/>
      <family val="2"/>
    </font>
    <font>
      <vertAlign val="subscript"/>
      <sz val="11"/>
      <color theme="1"/>
      <name val="Calibri"/>
      <family val="2"/>
      <scheme val="minor"/>
    </font>
    <font>
      <sz val="10"/>
      <name val="MS Sans Serif"/>
      <family val="2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vertAlign val="subscript"/>
      <sz val="12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bscript"/>
      <sz val="11"/>
      <color theme="1"/>
      <name val="Calibri"/>
      <family val="2"/>
      <scheme val="minor"/>
    </font>
    <font>
      <strike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theme="0" tint="-0.14999847407452621"/>
        <bgColor rgb="FFC0C0C0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ck">
        <color auto="1"/>
      </left>
      <right/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ck">
        <color auto="1"/>
      </left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0" fontId="2" fillId="0" borderId="0"/>
    <xf numFmtId="0" fontId="5" fillId="0" borderId="0"/>
    <xf numFmtId="43" fontId="7" fillId="0" borderId="0" applyFont="0" applyFill="0" applyBorder="0" applyAlignment="0" applyProtection="0"/>
    <xf numFmtId="0" fontId="2" fillId="0" borderId="0"/>
  </cellStyleXfs>
  <cellXfs count="92">
    <xf numFmtId="0" fontId="0" fillId="0" borderId="0" xfId="0"/>
    <xf numFmtId="0" fontId="3" fillId="0" borderId="1" xfId="1" applyFont="1" applyFill="1" applyBorder="1" applyAlignment="1" applyProtection="1">
      <alignment horizontal="left" vertical="top"/>
    </xf>
    <xf numFmtId="0" fontId="3" fillId="0" borderId="1" xfId="1" applyNumberFormat="1" applyFont="1" applyFill="1" applyBorder="1" applyAlignment="1" applyProtection="1">
      <alignment horizontal="left" vertical="top"/>
    </xf>
    <xf numFmtId="0" fontId="3" fillId="0" borderId="1" xfId="2" applyFont="1" applyFill="1" applyBorder="1" applyAlignment="1" applyProtection="1">
      <alignment horizontal="left" vertical="top"/>
    </xf>
    <xf numFmtId="0" fontId="0" fillId="0" borderId="1" xfId="0" applyBorder="1"/>
    <xf numFmtId="0" fontId="0" fillId="0" borderId="0" xfId="0" applyBorder="1"/>
    <xf numFmtId="0" fontId="0" fillId="0" borderId="8" xfId="0" applyBorder="1"/>
    <xf numFmtId="0" fontId="0" fillId="0" borderId="9" xfId="0" applyBorder="1"/>
    <xf numFmtId="0" fontId="0" fillId="0" borderId="7" xfId="0" applyBorder="1"/>
    <xf numFmtId="0" fontId="0" fillId="0" borderId="1" xfId="0" applyFill="1" applyBorder="1"/>
    <xf numFmtId="0" fontId="3" fillId="4" borderId="1" xfId="1" applyFont="1" applyFill="1" applyBorder="1" applyAlignment="1" applyProtection="1">
      <alignment horizontal="center" wrapText="1"/>
    </xf>
    <xf numFmtId="0" fontId="3" fillId="4" borderId="1" xfId="1" applyFont="1" applyFill="1" applyBorder="1" applyAlignment="1" applyProtection="1">
      <alignment horizontal="center"/>
    </xf>
    <xf numFmtId="0" fontId="0" fillId="2" borderId="1" xfId="0" applyFill="1" applyBorder="1" applyAlignment="1">
      <alignment horizontal="center" wrapText="1"/>
    </xf>
    <xf numFmtId="0" fontId="0" fillId="0" borderId="1" xfId="0" applyBorder="1" applyAlignment="1">
      <alignment horizontal="center" vertical="top" textRotation="90" wrapText="1"/>
    </xf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textRotation="90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164" fontId="0" fillId="0" borderId="1" xfId="0" applyNumberFormat="1" applyBorder="1"/>
    <xf numFmtId="0" fontId="3" fillId="5" borderId="1" xfId="2" applyFont="1" applyFill="1" applyBorder="1" applyAlignment="1" applyProtection="1">
      <alignment horizontal="left" vertical="top"/>
    </xf>
    <xf numFmtId="0" fontId="0" fillId="0" borderId="3" xfId="0" applyBorder="1"/>
    <xf numFmtId="0" fontId="0" fillId="5" borderId="3" xfId="0" applyFill="1" applyBorder="1"/>
    <xf numFmtId="0" fontId="0" fillId="0" borderId="10" xfId="0" applyFill="1" applyBorder="1"/>
    <xf numFmtId="0" fontId="0" fillId="0" borderId="14" xfId="0" applyBorder="1"/>
    <xf numFmtId="0" fontId="0" fillId="0" borderId="15" xfId="0" applyBorder="1"/>
    <xf numFmtId="165" fontId="0" fillId="0" borderId="1" xfId="0" applyNumberFormat="1" applyBorder="1" applyAlignment="1">
      <alignment horizontal="left"/>
    </xf>
    <xf numFmtId="0" fontId="3" fillId="4" borderId="20" xfId="1" applyFont="1" applyFill="1" applyBorder="1" applyAlignment="1" applyProtection="1">
      <alignment horizontal="center"/>
    </xf>
    <xf numFmtId="0" fontId="3" fillId="4" borderId="20" xfId="1" applyFont="1" applyFill="1" applyBorder="1" applyAlignment="1" applyProtection="1">
      <alignment horizontal="center" wrapText="1"/>
    </xf>
    <xf numFmtId="0" fontId="0" fillId="2" borderId="20" xfId="0" applyFill="1" applyBorder="1" applyAlignment="1">
      <alignment horizontal="center" wrapText="1"/>
    </xf>
    <xf numFmtId="0" fontId="1" fillId="3" borderId="2" xfId="0" applyFont="1" applyFill="1" applyBorder="1" applyAlignment="1">
      <alignment vertical="center" wrapText="1"/>
    </xf>
    <xf numFmtId="0" fontId="6" fillId="0" borderId="6" xfId="0" applyFont="1" applyBorder="1" applyAlignment="1">
      <alignment horizontal="center" vertical="center" wrapText="1"/>
    </xf>
    <xf numFmtId="0" fontId="1" fillId="3" borderId="6" xfId="0" applyFont="1" applyFill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165" fontId="0" fillId="0" borderId="0" xfId="0" applyNumberFormat="1"/>
    <xf numFmtId="2" fontId="8" fillId="0" borderId="0" xfId="0" applyNumberFormat="1" applyFont="1"/>
    <xf numFmtId="0" fontId="8" fillId="0" borderId="0" xfId="0" applyFont="1"/>
    <xf numFmtId="0" fontId="0" fillId="2" borderId="21" xfId="0" applyFill="1" applyBorder="1" applyAlignment="1">
      <alignment horizontal="center" wrapText="1"/>
    </xf>
    <xf numFmtId="165" fontId="0" fillId="0" borderId="22" xfId="0" applyNumberFormat="1" applyBorder="1"/>
    <xf numFmtId="165" fontId="0" fillId="0" borderId="23" xfId="0" applyNumberFormat="1" applyBorder="1"/>
    <xf numFmtId="0" fontId="0" fillId="6" borderId="20" xfId="0" applyFill="1" applyBorder="1" applyAlignment="1">
      <alignment horizontal="center" wrapText="1"/>
    </xf>
    <xf numFmtId="166" fontId="3" fillId="5" borderId="1" xfId="3" applyNumberFormat="1" applyFont="1" applyFill="1" applyBorder="1" applyAlignment="1" applyProtection="1">
      <alignment horizontal="left" vertical="top"/>
    </xf>
    <xf numFmtId="164" fontId="0" fillId="5" borderId="3" xfId="0" applyNumberFormat="1" applyFill="1" applyBorder="1"/>
    <xf numFmtId="0" fontId="10" fillId="0" borderId="0" xfId="0" applyFont="1"/>
    <xf numFmtId="0" fontId="0" fillId="0" borderId="0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3" xfId="0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 wrapText="1"/>
    </xf>
    <xf numFmtId="167" fontId="0" fillId="0" borderId="0" xfId="0" applyNumberFormat="1"/>
    <xf numFmtId="168" fontId="0" fillId="0" borderId="0" xfId="0" applyNumberFormat="1"/>
    <xf numFmtId="0" fontId="0" fillId="0" borderId="2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7" xfId="0" applyBorder="1"/>
    <xf numFmtId="0" fontId="0" fillId="0" borderId="30" xfId="0" applyBorder="1" applyAlignment="1">
      <alignment wrapText="1"/>
    </xf>
    <xf numFmtId="0" fontId="0" fillId="0" borderId="21" xfId="0" applyBorder="1"/>
    <xf numFmtId="0" fontId="0" fillId="0" borderId="25" xfId="0" applyBorder="1"/>
    <xf numFmtId="0" fontId="0" fillId="0" borderId="20" xfId="0" applyBorder="1" applyAlignment="1">
      <alignment horizontal="center" vertical="center" wrapText="1"/>
    </xf>
    <xf numFmtId="167" fontId="0" fillId="7" borderId="0" xfId="0" applyNumberFormat="1" applyFill="1"/>
    <xf numFmtId="0" fontId="0" fillId="0" borderId="1" xfId="0" applyBorder="1" applyAlignment="1">
      <alignment horizontal="center" textRotation="90" wrapText="1"/>
    </xf>
    <xf numFmtId="0" fontId="0" fillId="0" borderId="1" xfId="0" applyBorder="1" applyAlignment="1">
      <alignment horizontal="center" wrapText="1"/>
    </xf>
    <xf numFmtId="0" fontId="0" fillId="0" borderId="20" xfId="0" applyBorder="1" applyAlignment="1">
      <alignment horizontal="center" wrapText="1"/>
    </xf>
    <xf numFmtId="0" fontId="0" fillId="0" borderId="26" xfId="0" applyBorder="1" applyAlignment="1">
      <alignment horizontal="center" wrapText="1"/>
    </xf>
    <xf numFmtId="0" fontId="0" fillId="0" borderId="26" xfId="0" applyBorder="1"/>
    <xf numFmtId="0" fontId="0" fillId="0" borderId="0" xfId="0" applyFill="1" applyBorder="1"/>
    <xf numFmtId="0" fontId="0" fillId="2" borderId="16" xfId="0" applyFill="1" applyBorder="1"/>
    <xf numFmtId="0" fontId="0" fillId="2" borderId="17" xfId="0" applyFill="1" applyBorder="1"/>
    <xf numFmtId="0" fontId="0" fillId="2" borderId="18" xfId="0" applyFill="1" applyBorder="1"/>
    <xf numFmtId="0" fontId="0" fillId="2" borderId="14" xfId="0" applyFill="1" applyBorder="1"/>
    <xf numFmtId="0" fontId="0" fillId="2" borderId="1" xfId="0" applyFill="1" applyBorder="1"/>
    <xf numFmtId="0" fontId="0" fillId="2" borderId="15" xfId="0" applyFill="1" applyBorder="1"/>
    <xf numFmtId="0" fontId="1" fillId="7" borderId="21" xfId="0" applyFont="1" applyFill="1" applyBorder="1" applyAlignment="1">
      <alignment horizontal="center" wrapText="1"/>
    </xf>
    <xf numFmtId="0" fontId="1" fillId="7" borderId="9" xfId="0" applyFont="1" applyFill="1" applyBorder="1" applyAlignment="1">
      <alignment horizontal="center" wrapText="1"/>
    </xf>
    <xf numFmtId="0" fontId="0" fillId="0" borderId="24" xfId="0" applyBorder="1" applyAlignment="1">
      <alignment horizontal="center"/>
    </xf>
    <xf numFmtId="0" fontId="0" fillId="0" borderId="4" xfId="0" applyBorder="1" applyAlignment="1">
      <alignment horizontal="center" wrapText="1"/>
    </xf>
    <xf numFmtId="0" fontId="0" fillId="0" borderId="26" xfId="0" applyBorder="1" applyAlignment="1">
      <alignment horizontal="center"/>
    </xf>
    <xf numFmtId="0" fontId="0" fillId="0" borderId="1" xfId="0" applyBorder="1" applyAlignment="1">
      <alignment horizont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0" fillId="0" borderId="3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9" fillId="0" borderId="19" xfId="0" applyFont="1" applyBorder="1" applyAlignment="1">
      <alignment horizontal="center" vertical="center"/>
    </xf>
    <xf numFmtId="0" fontId="1" fillId="7" borderId="3" xfId="0" applyFont="1" applyFill="1" applyBorder="1" applyAlignment="1">
      <alignment horizontal="center" wrapText="1"/>
    </xf>
    <xf numFmtId="0" fontId="1" fillId="7" borderId="4" xfId="0" applyFont="1" applyFill="1" applyBorder="1" applyAlignment="1">
      <alignment horizontal="center" wrapText="1"/>
    </xf>
    <xf numFmtId="0" fontId="1" fillId="7" borderId="5" xfId="0" applyFont="1" applyFill="1" applyBorder="1" applyAlignment="1">
      <alignment horizontal="center" wrapText="1"/>
    </xf>
    <xf numFmtId="0" fontId="0" fillId="0" borderId="28" xfId="0" applyBorder="1" applyAlignment="1">
      <alignment horizontal="center" wrapText="1"/>
    </xf>
    <xf numFmtId="0" fontId="0" fillId="0" borderId="29" xfId="0" applyBorder="1" applyAlignment="1">
      <alignment horizontal="center"/>
    </xf>
    <xf numFmtId="0" fontId="16" fillId="2" borderId="1" xfId="0" applyFont="1" applyFill="1" applyBorder="1"/>
  </cellXfs>
  <cellStyles count="5">
    <cellStyle name="Comma" xfId="3" builtinId="3"/>
    <cellStyle name="Normal" xfId="0" builtinId="0"/>
    <cellStyle name="Normal 2" xfId="1" xr:uid="{00000000-0005-0000-0000-000001000000}"/>
    <cellStyle name="Normal 3" xfId="2" xr:uid="{00000000-0005-0000-0000-000002000000}"/>
    <cellStyle name="Normal 3 2" xfId="4" xr:uid="{6F99C957-70B9-4369-A68D-94DBF39774DB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51"/>
  <sheetViews>
    <sheetView zoomScale="50" zoomScaleNormal="50" workbookViewId="0">
      <selection activeCell="A3" sqref="A3"/>
    </sheetView>
  </sheetViews>
  <sheetFormatPr defaultRowHeight="15" x14ac:dyDescent="0.25"/>
  <cols>
    <col min="1" max="1" width="14" customWidth="1"/>
    <col min="2" max="2" width="11" bestFit="1" customWidth="1"/>
    <col min="3" max="3" width="11" customWidth="1"/>
    <col min="4" max="4" width="16.5703125" customWidth="1"/>
    <col min="5" max="5" width="16" customWidth="1"/>
    <col min="6" max="6" width="17" customWidth="1"/>
    <col min="7" max="7" width="11" bestFit="1" customWidth="1"/>
    <col min="8" max="8" width="12" bestFit="1" customWidth="1"/>
    <col min="9" max="10" width="11.42578125" bestFit="1" customWidth="1"/>
    <col min="13" max="13" width="13.140625" bestFit="1" customWidth="1"/>
    <col min="17" max="17" width="9.85546875" bestFit="1" customWidth="1"/>
    <col min="20" max="20" width="9.85546875" bestFit="1" customWidth="1"/>
  </cols>
  <sheetData>
    <row r="1" spans="1:21" ht="30.75" thickBot="1" x14ac:dyDescent="0.3">
      <c r="A1" s="30" t="s">
        <v>14</v>
      </c>
      <c r="B1" s="31">
        <v>9</v>
      </c>
      <c r="C1" s="32" t="s">
        <v>15</v>
      </c>
      <c r="D1" s="33" t="s">
        <v>16</v>
      </c>
      <c r="E1" s="30" t="s">
        <v>17</v>
      </c>
      <c r="F1" s="33" t="s">
        <v>23</v>
      </c>
      <c r="G1" s="30" t="s">
        <v>18</v>
      </c>
      <c r="H1" s="33" t="s">
        <v>19</v>
      </c>
    </row>
    <row r="3" spans="1:21" s="47" customFormat="1" ht="30.6" customHeight="1" x14ac:dyDescent="0.25">
      <c r="A3" s="44"/>
      <c r="B3" s="44"/>
      <c r="C3" s="44"/>
      <c r="D3" s="44"/>
      <c r="E3" s="44"/>
      <c r="F3" s="44"/>
      <c r="G3" s="45"/>
      <c r="H3" s="80" t="s">
        <v>21</v>
      </c>
      <c r="I3" s="74"/>
      <c r="J3" s="74"/>
      <c r="K3" s="74"/>
      <c r="L3" s="74"/>
      <c r="M3" s="81"/>
      <c r="O3" s="71" t="s">
        <v>48</v>
      </c>
      <c r="P3" s="72"/>
      <c r="Q3" s="72"/>
      <c r="R3" s="72"/>
      <c r="S3" s="72"/>
      <c r="T3" s="72"/>
      <c r="U3" s="72"/>
    </row>
    <row r="4" spans="1:21" x14ac:dyDescent="0.25">
      <c r="A4" s="7"/>
      <c r="B4" s="7"/>
      <c r="C4" s="7"/>
      <c r="D4" s="7"/>
      <c r="E4" s="7"/>
      <c r="F4" s="7"/>
      <c r="G4" s="8"/>
      <c r="H4" s="18">
        <v>71432</v>
      </c>
      <c r="I4" s="18">
        <v>110543</v>
      </c>
      <c r="J4" s="18">
        <v>100414</v>
      </c>
      <c r="K4" s="18">
        <v>108883</v>
      </c>
      <c r="L4" s="18">
        <v>108383</v>
      </c>
      <c r="M4" s="18">
        <v>95636</v>
      </c>
      <c r="O4" s="18">
        <v>71432</v>
      </c>
      <c r="P4" s="18">
        <v>100414</v>
      </c>
      <c r="Q4" s="18">
        <v>110543</v>
      </c>
      <c r="R4" s="18">
        <v>91203</v>
      </c>
      <c r="S4" s="18">
        <v>115071</v>
      </c>
      <c r="T4" s="18">
        <v>108883</v>
      </c>
      <c r="U4" s="18">
        <v>108383</v>
      </c>
    </row>
    <row r="5" spans="1:21" s="14" customFormat="1" ht="85.5" x14ac:dyDescent="0.25">
      <c r="A5" s="11" t="s">
        <v>0</v>
      </c>
      <c r="B5" s="10" t="s">
        <v>20</v>
      </c>
      <c r="C5" s="11" t="s">
        <v>10</v>
      </c>
      <c r="D5" s="12" t="s">
        <v>3</v>
      </c>
      <c r="E5" s="12" t="s">
        <v>25</v>
      </c>
      <c r="F5" s="12" t="s">
        <v>24</v>
      </c>
      <c r="G5" s="12" t="s">
        <v>26</v>
      </c>
      <c r="H5" s="13" t="s">
        <v>4</v>
      </c>
      <c r="I5" s="13" t="s">
        <v>5</v>
      </c>
      <c r="J5" s="13" t="s">
        <v>6</v>
      </c>
      <c r="K5" s="13" t="s">
        <v>7</v>
      </c>
      <c r="L5" s="13" t="s">
        <v>8</v>
      </c>
      <c r="M5" s="13" t="s">
        <v>9</v>
      </c>
      <c r="O5" s="59" t="s">
        <v>4</v>
      </c>
      <c r="P5" s="59" t="s">
        <v>6</v>
      </c>
      <c r="Q5" s="59" t="s">
        <v>5</v>
      </c>
      <c r="R5" s="59" t="s">
        <v>49</v>
      </c>
      <c r="S5" s="59" t="s">
        <v>50</v>
      </c>
      <c r="T5" s="59" t="s">
        <v>7</v>
      </c>
      <c r="U5" s="59" t="s">
        <v>8</v>
      </c>
    </row>
    <row r="6" spans="1:21" x14ac:dyDescent="0.25">
      <c r="A6" s="1" t="s">
        <v>2</v>
      </c>
      <c r="B6" s="1">
        <v>109369</v>
      </c>
      <c r="C6" s="2" t="s">
        <v>11</v>
      </c>
      <c r="D6" s="3">
        <v>26436</v>
      </c>
      <c r="E6" s="3">
        <v>0.77</v>
      </c>
      <c r="F6" s="3">
        <f>0.47*2</f>
        <v>0.94</v>
      </c>
      <c r="G6" s="19">
        <f>E6+(F6/D6*1000)</f>
        <v>0.80555757300650632</v>
      </c>
      <c r="H6" s="9">
        <f>1*G6/100</f>
        <v>8.0555757300650628E-3</v>
      </c>
      <c r="I6" s="9">
        <f>1*G6/100</f>
        <v>8.0555757300650628E-3</v>
      </c>
      <c r="J6" s="9">
        <f>1.4*G6/100</f>
        <v>1.1277806022091087E-2</v>
      </c>
      <c r="K6" s="9">
        <f>7*G6/100</f>
        <v>5.6389030110455443E-2</v>
      </c>
      <c r="L6" s="9">
        <f>7*G6/100</f>
        <v>5.6389030110455443E-2</v>
      </c>
      <c r="M6" s="9">
        <f>2.5*G6/100</f>
        <v>2.0138939325162659E-2</v>
      </c>
      <c r="O6" s="58">
        <f>SUM(D23:D27)</f>
        <v>0.14307084039999998</v>
      </c>
      <c r="P6" s="58">
        <f t="shared" ref="P6:T6" si="0">SUM(E23:E27)</f>
        <v>0.10484131159999999</v>
      </c>
      <c r="Q6" s="58">
        <f t="shared" si="0"/>
        <v>0.50914796000000007</v>
      </c>
      <c r="R6" s="58">
        <f t="shared" si="0"/>
        <v>1.1135308905999997E-2</v>
      </c>
      <c r="S6" s="58">
        <f t="shared" si="0"/>
        <v>7.8012987600000003E-4</v>
      </c>
      <c r="T6" s="58">
        <f t="shared" si="0"/>
        <v>0.59575421999999989</v>
      </c>
      <c r="U6" s="58">
        <f>SUM(J23:J27)</f>
        <v>0.50601029319999991</v>
      </c>
    </row>
    <row r="7" spans="1:21" x14ac:dyDescent="0.25">
      <c r="A7" s="1" t="s">
        <v>2</v>
      </c>
      <c r="B7" s="1">
        <v>387622</v>
      </c>
      <c r="C7" s="2" t="s">
        <v>12</v>
      </c>
      <c r="D7" s="3">
        <v>141172</v>
      </c>
      <c r="E7" s="3">
        <v>1.24</v>
      </c>
      <c r="F7" s="3">
        <f>3.74*2</f>
        <v>7.48</v>
      </c>
      <c r="G7" s="19">
        <f>E7+(F7/D7*1000)</f>
        <v>1.2929850111920211</v>
      </c>
      <c r="H7" s="9">
        <f>0.15*G7/100</f>
        <v>1.9394775167880316E-3</v>
      </c>
      <c r="I7" s="9">
        <f>0.15*G7/100</f>
        <v>1.9394775167880316E-3</v>
      </c>
      <c r="J7" s="9">
        <f>0.21*G7/100</f>
        <v>2.7152685235032441E-3</v>
      </c>
      <c r="K7" s="9">
        <f>1.05*G7/100</f>
        <v>1.3576342617516222E-2</v>
      </c>
      <c r="L7" s="9">
        <f>1.05*G7/100</f>
        <v>1.3576342617516222E-2</v>
      </c>
      <c r="M7" s="9">
        <f>0.375*G7/100</f>
        <v>4.8486937919700792E-3</v>
      </c>
    </row>
    <row r="8" spans="1:21" x14ac:dyDescent="0.25">
      <c r="A8" s="1" t="s">
        <v>2</v>
      </c>
      <c r="B8" s="1">
        <v>386791</v>
      </c>
      <c r="C8" s="2" t="s">
        <v>12</v>
      </c>
      <c r="D8" s="3">
        <v>99254</v>
      </c>
      <c r="E8" s="3">
        <v>1.24</v>
      </c>
      <c r="F8" s="3">
        <f>3.74*2</f>
        <v>7.48</v>
      </c>
      <c r="G8" s="19">
        <f>E8+(F8/D8*1000)</f>
        <v>1.3153622020271223</v>
      </c>
      <c r="H8" s="9">
        <f>0.15*G8/100</f>
        <v>1.9730433030406831E-3</v>
      </c>
      <c r="I8" s="9">
        <f>0.15*G8/100</f>
        <v>1.9730433030406831E-3</v>
      </c>
      <c r="J8" s="9">
        <f>0.21*G8/100</f>
        <v>2.7622606242569568E-3</v>
      </c>
      <c r="K8" s="9">
        <f>1.05*G8/100</f>
        <v>1.3811303121284783E-2</v>
      </c>
      <c r="L8" s="9">
        <f>1.05*G8/100</f>
        <v>1.3811303121284783E-2</v>
      </c>
      <c r="M8" s="9">
        <f>0.375*G8/100</f>
        <v>4.932608257601708E-3</v>
      </c>
    </row>
    <row r="9" spans="1:21" ht="15.75" thickBot="1" x14ac:dyDescent="0.3">
      <c r="A9" s="1" t="s">
        <v>1</v>
      </c>
      <c r="B9" s="1">
        <v>384085</v>
      </c>
      <c r="C9" s="2" t="s">
        <v>11</v>
      </c>
      <c r="D9" s="3">
        <v>2291778</v>
      </c>
      <c r="E9" s="3">
        <v>0.77</v>
      </c>
      <c r="F9" s="3">
        <f>0.47*24</f>
        <v>11.28</v>
      </c>
      <c r="G9" s="19">
        <f>E9+(F9/D9*1000)</f>
        <v>0.77492194270125647</v>
      </c>
      <c r="H9" s="23">
        <f>1*G9/100</f>
        <v>7.749219427012565E-3</v>
      </c>
      <c r="I9" s="23">
        <f>1*G9/100</f>
        <v>7.749219427012565E-3</v>
      </c>
      <c r="J9" s="23">
        <f>1.4*G9/100</f>
        <v>1.084890719781759E-2</v>
      </c>
      <c r="K9" s="23">
        <f>7*G9/100</f>
        <v>5.4244535989087954E-2</v>
      </c>
      <c r="L9" s="23">
        <f>7*G9/100</f>
        <v>5.4244535989087954E-2</v>
      </c>
      <c r="M9" s="23">
        <f>2.5*G9/100</f>
        <v>1.9373048567531411E-2</v>
      </c>
      <c r="O9" s="58">
        <f>SUM(D32:D36)</f>
        <v>6.0059752986000001</v>
      </c>
      <c r="P9" s="58">
        <f t="shared" ref="P9:U9" si="1">SUM(E32:E36)</f>
        <v>1.4775563597999999</v>
      </c>
      <c r="Q9" s="58">
        <f t="shared" si="1"/>
        <v>23.858132891999997</v>
      </c>
      <c r="R9" s="58">
        <f t="shared" si="1"/>
        <v>1.6844264012999998E-2</v>
      </c>
      <c r="S9" s="58">
        <f t="shared" si="1"/>
        <v>4.6887960560399997E-2</v>
      </c>
      <c r="T9" s="58">
        <f t="shared" si="1"/>
        <v>14.836069205999999</v>
      </c>
      <c r="U9" s="58">
        <f t="shared" si="1"/>
        <v>5.7531173465999998</v>
      </c>
    </row>
    <row r="10" spans="1:21" ht="34.5" customHeight="1" x14ac:dyDescent="0.25">
      <c r="A10" s="4"/>
      <c r="B10" s="4"/>
      <c r="C10" s="4"/>
      <c r="D10" s="4"/>
      <c r="E10" s="4"/>
      <c r="F10" s="4"/>
      <c r="G10" s="21"/>
      <c r="H10" s="77" t="s">
        <v>30</v>
      </c>
      <c r="I10" s="78"/>
      <c r="J10" s="78"/>
      <c r="K10" s="78"/>
      <c r="L10" s="78"/>
      <c r="M10" s="79"/>
    </row>
    <row r="11" spans="1:21" x14ac:dyDescent="0.25">
      <c r="A11" s="1" t="s">
        <v>2</v>
      </c>
      <c r="B11" s="1">
        <v>109369</v>
      </c>
      <c r="C11" s="2" t="s">
        <v>11</v>
      </c>
      <c r="D11" s="20"/>
      <c r="E11" s="20"/>
      <c r="F11" s="20"/>
      <c r="G11" s="22"/>
      <c r="H11" s="68">
        <f>$D6*H6/1000</f>
        <v>0.21295720000000001</v>
      </c>
      <c r="I11" s="69">
        <f t="shared" ref="I11:M11" si="2">$D6*I6/1000</f>
        <v>0.21295720000000001</v>
      </c>
      <c r="J11" s="69">
        <f t="shared" si="2"/>
        <v>0.29814007999999997</v>
      </c>
      <c r="K11" s="69">
        <f t="shared" si="2"/>
        <v>1.4907004000000001</v>
      </c>
      <c r="L11" s="69">
        <f t="shared" si="2"/>
        <v>1.4907004000000001</v>
      </c>
      <c r="M11" s="70">
        <f t="shared" si="2"/>
        <v>0.53239300000000001</v>
      </c>
    </row>
    <row r="12" spans="1:21" x14ac:dyDescent="0.25">
      <c r="A12" s="1" t="s">
        <v>2</v>
      </c>
      <c r="B12" s="1">
        <v>387622</v>
      </c>
      <c r="C12" s="2" t="s">
        <v>12</v>
      </c>
      <c r="D12" s="20"/>
      <c r="E12" s="20"/>
      <c r="F12" s="20"/>
      <c r="G12" s="22"/>
      <c r="H12" s="24">
        <f t="shared" ref="H12:M12" si="3">$D7*H7/1000</f>
        <v>0.27379991999999997</v>
      </c>
      <c r="I12" s="4">
        <f t="shared" si="3"/>
        <v>0.27379991999999997</v>
      </c>
      <c r="J12" s="4">
        <f t="shared" si="3"/>
        <v>0.383319888</v>
      </c>
      <c r="K12" s="4">
        <f t="shared" si="3"/>
        <v>1.9165994400000002</v>
      </c>
      <c r="L12" s="4">
        <f t="shared" si="3"/>
        <v>1.9165994400000002</v>
      </c>
      <c r="M12" s="25">
        <f t="shared" si="3"/>
        <v>0.6844998000000001</v>
      </c>
    </row>
    <row r="13" spans="1:21" x14ac:dyDescent="0.25">
      <c r="A13" s="1" t="s">
        <v>2</v>
      </c>
      <c r="B13" s="1">
        <v>386791</v>
      </c>
      <c r="C13" s="2" t="s">
        <v>12</v>
      </c>
      <c r="D13" s="20"/>
      <c r="E13" s="20"/>
      <c r="F13" s="20"/>
      <c r="G13" s="22"/>
      <c r="H13" s="24">
        <f t="shared" ref="H13:M13" si="4">$D8*H8/1000</f>
        <v>0.19583243999999997</v>
      </c>
      <c r="I13" s="4">
        <f t="shared" si="4"/>
        <v>0.19583243999999997</v>
      </c>
      <c r="J13" s="4">
        <f t="shared" si="4"/>
        <v>0.274165416</v>
      </c>
      <c r="K13" s="4">
        <f t="shared" si="4"/>
        <v>1.3708270799999998</v>
      </c>
      <c r="L13" s="4">
        <f t="shared" si="4"/>
        <v>1.3708270799999998</v>
      </c>
      <c r="M13" s="25">
        <f t="shared" si="4"/>
        <v>0.48958109999999994</v>
      </c>
    </row>
    <row r="14" spans="1:21" ht="15.75" thickBot="1" x14ac:dyDescent="0.3">
      <c r="A14" s="1" t="s">
        <v>1</v>
      </c>
      <c r="B14" s="1">
        <v>384085</v>
      </c>
      <c r="C14" s="2" t="s">
        <v>11</v>
      </c>
      <c r="D14" s="20"/>
      <c r="E14" s="20"/>
      <c r="F14" s="20"/>
      <c r="G14" s="22"/>
      <c r="H14" s="65">
        <f t="shared" ref="H14:L14" si="5">$D9*H9/1000</f>
        <v>17.759490599999999</v>
      </c>
      <c r="I14" s="66">
        <f t="shared" si="5"/>
        <v>17.759490599999999</v>
      </c>
      <c r="J14" s="66">
        <f t="shared" si="5"/>
        <v>24.863286840000001</v>
      </c>
      <c r="K14" s="66">
        <f t="shared" si="5"/>
        <v>124.31643420000002</v>
      </c>
      <c r="L14" s="66">
        <f t="shared" si="5"/>
        <v>124.31643420000002</v>
      </c>
      <c r="M14" s="67">
        <f>$D9*M9/1000</f>
        <v>44.398726500000002</v>
      </c>
      <c r="N14" s="64"/>
      <c r="O14" s="5"/>
    </row>
    <row r="16" spans="1:21" ht="14.45" customHeight="1" x14ac:dyDescent="0.25">
      <c r="A16" s="53"/>
      <c r="B16" s="74" t="s">
        <v>44</v>
      </c>
      <c r="C16" s="74"/>
      <c r="D16" s="74"/>
      <c r="E16" s="74"/>
      <c r="F16" s="74"/>
      <c r="G16" s="74"/>
      <c r="H16" s="74"/>
      <c r="I16" s="75" t="s">
        <v>45</v>
      </c>
      <c r="J16" s="76"/>
      <c r="K16" s="76"/>
      <c r="L16" s="76"/>
      <c r="M16" s="76"/>
      <c r="N16" s="76"/>
      <c r="O16" s="76"/>
    </row>
    <row r="17" spans="1:15" s="47" customFormat="1" ht="30" x14ac:dyDescent="0.25">
      <c r="A17" s="54" t="s">
        <v>32</v>
      </c>
      <c r="B17" s="60" t="s">
        <v>4</v>
      </c>
      <c r="C17" s="60" t="s">
        <v>6</v>
      </c>
      <c r="D17" s="60" t="s">
        <v>5</v>
      </c>
      <c r="E17" s="60" t="s">
        <v>49</v>
      </c>
      <c r="F17" s="60" t="s">
        <v>50</v>
      </c>
      <c r="G17" s="60" t="s">
        <v>7</v>
      </c>
      <c r="H17" s="46" t="s">
        <v>8</v>
      </c>
      <c r="I17" s="62" t="s">
        <v>4</v>
      </c>
      <c r="J17" s="60" t="s">
        <v>6</v>
      </c>
      <c r="K17" s="60" t="s">
        <v>5</v>
      </c>
      <c r="L17" s="60" t="s">
        <v>49</v>
      </c>
      <c r="M17" s="60" t="s">
        <v>50</v>
      </c>
      <c r="N17" s="60" t="s">
        <v>7</v>
      </c>
      <c r="O17" s="60" t="s">
        <v>8</v>
      </c>
    </row>
    <row r="18" spans="1:15" x14ac:dyDescent="0.25">
      <c r="A18" s="55"/>
      <c r="B18" s="4">
        <f>0.457/100</f>
        <v>4.5700000000000003E-3</v>
      </c>
      <c r="C18" s="4">
        <f>0.107/100</f>
        <v>1.07E-3</v>
      </c>
      <c r="D18" s="4">
        <f>1.82/100</f>
        <v>1.8200000000000001E-2</v>
      </c>
      <c r="E18" s="4">
        <f>0.000445/100</f>
        <v>4.4499999999999997E-6</v>
      </c>
      <c r="F18" s="4">
        <f>0.003594/100</f>
        <v>3.5939999999999998E-5</v>
      </c>
      <c r="G18" s="4">
        <f>1.11/100</f>
        <v>1.11E-2</v>
      </c>
      <c r="H18" s="21">
        <f>0.409/100</f>
        <v>4.0899999999999999E-3</v>
      </c>
      <c r="I18" s="63">
        <f>0.707/100</f>
        <v>7.0699999999999999E-3</v>
      </c>
      <c r="J18" s="4">
        <f>1.29/100</f>
        <v>1.29E-2</v>
      </c>
      <c r="K18" s="4">
        <f>1.86/100</f>
        <v>1.8600000000000002E-2</v>
      </c>
      <c r="L18" s="4">
        <f>0.174/100</f>
        <v>1.7399999999999998E-3</v>
      </c>
      <c r="M18" s="4">
        <f>0.000122/100</f>
        <v>1.22E-6</v>
      </c>
      <c r="N18" s="4">
        <f>5.63/100</f>
        <v>5.6299999999999996E-2</v>
      </c>
      <c r="O18" s="4">
        <f>6.59/100</f>
        <v>6.59E-2</v>
      </c>
    </row>
    <row r="21" spans="1:15" ht="15.75" thickBot="1" x14ac:dyDescent="0.3">
      <c r="A21" s="73" t="s">
        <v>33</v>
      </c>
      <c r="B21" s="73"/>
      <c r="D21" s="73" t="s">
        <v>52</v>
      </c>
      <c r="E21" s="73"/>
      <c r="F21" s="73"/>
      <c r="G21" s="73"/>
      <c r="H21" s="73"/>
      <c r="I21" s="73"/>
      <c r="J21" s="73"/>
    </row>
    <row r="22" spans="1:15" s="47" customFormat="1" ht="45" x14ac:dyDescent="0.25">
      <c r="A22" s="47" t="s">
        <v>34</v>
      </c>
      <c r="B22" s="47" t="s">
        <v>40</v>
      </c>
      <c r="D22" s="61" t="s">
        <v>4</v>
      </c>
      <c r="E22" s="61" t="s">
        <v>6</v>
      </c>
      <c r="F22" s="61" t="s">
        <v>5</v>
      </c>
      <c r="G22" s="61" t="s">
        <v>49</v>
      </c>
      <c r="H22" s="61" t="s">
        <v>50</v>
      </c>
      <c r="I22" s="61" t="s">
        <v>7</v>
      </c>
      <c r="J22" s="61" t="s">
        <v>8</v>
      </c>
    </row>
    <row r="23" spans="1:15" x14ac:dyDescent="0.25">
      <c r="A23" t="s">
        <v>35</v>
      </c>
      <c r="B23">
        <v>0.15</v>
      </c>
      <c r="D23" s="49">
        <f>$D$6*$B23/1000*B$18</f>
        <v>1.8121878000000001E-2</v>
      </c>
      <c r="E23" s="49">
        <f t="shared" ref="E23:J25" si="6">$D$6*$B23/1000*C$18</f>
        <v>4.2429779999999997E-3</v>
      </c>
      <c r="F23" s="49">
        <f t="shared" si="6"/>
        <v>7.2170280000000003E-2</v>
      </c>
      <c r="G23" s="49">
        <f t="shared" si="6"/>
        <v>1.7646029999999999E-5</v>
      </c>
      <c r="H23" s="49">
        <f t="shared" si="6"/>
        <v>1.42516476E-4</v>
      </c>
      <c r="I23" s="49">
        <f t="shared" si="6"/>
        <v>4.4015939999999996E-2</v>
      </c>
      <c r="J23" s="49">
        <f t="shared" si="6"/>
        <v>1.6218485999999997E-2</v>
      </c>
    </row>
    <row r="24" spans="1:15" x14ac:dyDescent="0.25">
      <c r="A24" t="s">
        <v>36</v>
      </c>
      <c r="B24">
        <v>2.4E-2</v>
      </c>
      <c r="D24" s="49">
        <f t="shared" ref="D24:D25" si="7">$D$6*$B24/1000*B$18</f>
        <v>2.8995004800000004E-3</v>
      </c>
      <c r="E24" s="49">
        <f t="shared" si="6"/>
        <v>6.7887648000000006E-4</v>
      </c>
      <c r="F24" s="49">
        <f t="shared" si="6"/>
        <v>1.1547244800000002E-2</v>
      </c>
      <c r="G24" s="49">
        <f t="shared" si="6"/>
        <v>2.8233648000000002E-6</v>
      </c>
      <c r="H24" s="49">
        <f t="shared" si="6"/>
        <v>2.280263616E-5</v>
      </c>
      <c r="I24" s="49">
        <f t="shared" si="6"/>
        <v>7.0425504000000009E-3</v>
      </c>
      <c r="J24" s="49">
        <f t="shared" si="6"/>
        <v>2.5949577600000002E-3</v>
      </c>
    </row>
    <row r="25" spans="1:15" x14ac:dyDescent="0.25">
      <c r="A25" t="s">
        <v>37</v>
      </c>
      <c r="B25">
        <v>0.35599999999999998</v>
      </c>
      <c r="D25" s="49">
        <f t="shared" si="7"/>
        <v>4.3009257119999998E-2</v>
      </c>
      <c r="E25" s="49">
        <f t="shared" si="6"/>
        <v>1.007000112E-2</v>
      </c>
      <c r="F25" s="49">
        <f t="shared" si="6"/>
        <v>0.17128413119999999</v>
      </c>
      <c r="G25" s="49">
        <f t="shared" si="6"/>
        <v>4.1879911199999999E-5</v>
      </c>
      <c r="H25" s="49">
        <f t="shared" si="6"/>
        <v>3.3823910303999998E-4</v>
      </c>
      <c r="I25" s="49">
        <f t="shared" si="6"/>
        <v>0.1044644976</v>
      </c>
      <c r="J25" s="49">
        <f t="shared" si="6"/>
        <v>3.8491873439999998E-2</v>
      </c>
    </row>
    <row r="26" spans="1:15" x14ac:dyDescent="0.25">
      <c r="A26" t="s">
        <v>38</v>
      </c>
      <c r="B26">
        <v>0.24</v>
      </c>
      <c r="D26" s="49">
        <f>$D$6*$B26/1000*I$18</f>
        <v>4.4856604799999991E-2</v>
      </c>
      <c r="E26" s="49">
        <f t="shared" ref="E26:J26" si="8">$D$6*$B26/1000*J$18</f>
        <v>8.1845855999999995E-2</v>
      </c>
      <c r="F26" s="49">
        <f t="shared" si="8"/>
        <v>0.118010304</v>
      </c>
      <c r="G26" s="49">
        <f t="shared" si="8"/>
        <v>1.1039673599999997E-2</v>
      </c>
      <c r="H26" s="49">
        <f t="shared" si="8"/>
        <v>7.7404607999999982E-6</v>
      </c>
      <c r="I26" s="49">
        <f>$D$6*$B26/1000*N$18</f>
        <v>0.35720323199999993</v>
      </c>
      <c r="J26" s="49">
        <f t="shared" si="8"/>
        <v>0.41811177599999994</v>
      </c>
    </row>
    <row r="27" spans="1:15" x14ac:dyDescent="0.25">
      <c r="A27" t="s">
        <v>39</v>
      </c>
      <c r="B27">
        <v>3.74</v>
      </c>
      <c r="D27" s="50">
        <f t="shared" ref="D27:J27" si="9">$B27*2*B$18</f>
        <v>3.4183600000000001E-2</v>
      </c>
      <c r="E27" s="50">
        <f t="shared" si="9"/>
        <v>8.0035999999999996E-3</v>
      </c>
      <c r="F27" s="50">
        <f t="shared" si="9"/>
        <v>0.13613600000000001</v>
      </c>
      <c r="G27" s="50">
        <f t="shared" si="9"/>
        <v>3.3285999999999999E-5</v>
      </c>
      <c r="H27" s="50">
        <f t="shared" si="9"/>
        <v>2.6883119999999999E-4</v>
      </c>
      <c r="I27" s="50">
        <f t="shared" si="9"/>
        <v>8.3028000000000005E-2</v>
      </c>
      <c r="J27" s="50">
        <f t="shared" si="9"/>
        <v>3.0593200000000001E-2</v>
      </c>
    </row>
    <row r="30" spans="1:15" ht="15.75" thickBot="1" x14ac:dyDescent="0.3">
      <c r="A30" s="73" t="s">
        <v>33</v>
      </c>
      <c r="B30" s="73"/>
      <c r="D30" s="73" t="s">
        <v>53</v>
      </c>
      <c r="E30" s="73"/>
      <c r="F30" s="73"/>
      <c r="G30" s="73"/>
      <c r="H30" s="73"/>
      <c r="I30" s="73"/>
      <c r="J30" s="73"/>
    </row>
    <row r="31" spans="1:15" s="47" customFormat="1" ht="45" x14ac:dyDescent="0.25">
      <c r="A31" s="47" t="s">
        <v>34</v>
      </c>
      <c r="B31" s="47" t="s">
        <v>40</v>
      </c>
      <c r="D31" s="61" t="s">
        <v>4</v>
      </c>
      <c r="E31" s="61" t="s">
        <v>6</v>
      </c>
      <c r="F31" s="61" t="s">
        <v>5</v>
      </c>
      <c r="G31" s="61" t="s">
        <v>49</v>
      </c>
      <c r="H31" s="61" t="s">
        <v>50</v>
      </c>
      <c r="I31" s="61" t="s">
        <v>7</v>
      </c>
      <c r="J31" s="61" t="s">
        <v>8</v>
      </c>
    </row>
    <row r="32" spans="1:15" x14ac:dyDescent="0.25">
      <c r="A32" t="s">
        <v>35</v>
      </c>
      <c r="B32">
        <v>0.15</v>
      </c>
      <c r="D32" s="49">
        <f>$D$9*$B32/1000*B$18</f>
        <v>1.5710138190000003</v>
      </c>
      <c r="E32" s="49">
        <f t="shared" ref="E32:J34" si="10">$D$9*$B32/1000*C$18</f>
        <v>0.36783036899999999</v>
      </c>
      <c r="F32" s="49">
        <f t="shared" si="10"/>
        <v>6.2565539400000008</v>
      </c>
      <c r="G32" s="49">
        <f t="shared" si="10"/>
        <v>1.5297618149999999E-3</v>
      </c>
      <c r="H32" s="49">
        <f t="shared" si="10"/>
        <v>1.2354975197999999E-2</v>
      </c>
      <c r="I32" s="49">
        <f t="shared" si="10"/>
        <v>3.8158103700000003</v>
      </c>
      <c r="J32" s="49">
        <f t="shared" si="10"/>
        <v>1.406005803</v>
      </c>
    </row>
    <row r="33" spans="1:10" x14ac:dyDescent="0.25">
      <c r="A33" t="s">
        <v>36</v>
      </c>
      <c r="B33">
        <v>2.4E-2</v>
      </c>
      <c r="D33" s="49">
        <f>$D$9*$B33/1000*B$18</f>
        <v>0.25136221104000001</v>
      </c>
      <c r="E33" s="49">
        <f t="shared" si="10"/>
        <v>5.8852859039999997E-2</v>
      </c>
      <c r="F33" s="49">
        <f t="shared" si="10"/>
        <v>1.0010486303999999</v>
      </c>
      <c r="G33" s="49">
        <f t="shared" si="10"/>
        <v>2.4476189039999996E-4</v>
      </c>
      <c r="H33" s="49">
        <f t="shared" si="10"/>
        <v>1.9767960316799996E-3</v>
      </c>
      <c r="I33" s="49">
        <f t="shared" si="10"/>
        <v>0.61052965920000002</v>
      </c>
      <c r="J33" s="49">
        <f t="shared" si="10"/>
        <v>0.22496092847999999</v>
      </c>
    </row>
    <row r="34" spans="1:10" x14ac:dyDescent="0.25">
      <c r="A34" t="s">
        <v>37</v>
      </c>
      <c r="B34">
        <v>0.35599999999999998</v>
      </c>
      <c r="D34" s="49">
        <f>$D$9*$B34/1000*B$18</f>
        <v>3.7285394637600002</v>
      </c>
      <c r="E34" s="49">
        <f t="shared" si="10"/>
        <v>0.87298407576000003</v>
      </c>
      <c r="F34" s="49">
        <f t="shared" si="10"/>
        <v>14.8488880176</v>
      </c>
      <c r="G34" s="49">
        <f t="shared" si="10"/>
        <v>3.6306347076000001E-3</v>
      </c>
      <c r="H34" s="49">
        <f t="shared" si="10"/>
        <v>2.932247446992E-2</v>
      </c>
      <c r="I34" s="49">
        <f t="shared" si="10"/>
        <v>9.0561899447999998</v>
      </c>
      <c r="J34" s="49">
        <f t="shared" si="10"/>
        <v>3.33692043912</v>
      </c>
    </row>
    <row r="35" spans="1:10" x14ac:dyDescent="0.25">
      <c r="A35" t="s">
        <v>38</v>
      </c>
      <c r="B35">
        <v>0.24</v>
      </c>
      <c r="D35" s="49">
        <f>$D$6*$B35/1000*I$18</f>
        <v>4.4856604799999991E-2</v>
      </c>
      <c r="E35" s="49">
        <f t="shared" ref="E35:J35" si="11">$D$6*$B35/1000*J$18</f>
        <v>8.1845855999999995E-2</v>
      </c>
      <c r="F35" s="49">
        <f t="shared" si="11"/>
        <v>0.118010304</v>
      </c>
      <c r="G35" s="49">
        <f t="shared" si="11"/>
        <v>1.1039673599999997E-2</v>
      </c>
      <c r="H35" s="49">
        <f t="shared" si="11"/>
        <v>7.7404607999999982E-6</v>
      </c>
      <c r="I35" s="49">
        <f t="shared" si="11"/>
        <v>0.35720323199999993</v>
      </c>
      <c r="J35" s="49">
        <f t="shared" si="11"/>
        <v>0.41811177599999994</v>
      </c>
    </row>
    <row r="36" spans="1:10" x14ac:dyDescent="0.25">
      <c r="A36" t="s">
        <v>39</v>
      </c>
      <c r="B36">
        <v>3.74</v>
      </c>
      <c r="D36" s="50">
        <f>$B36*24*B$18</f>
        <v>0.41020320000000005</v>
      </c>
      <c r="E36" s="50">
        <f t="shared" ref="E36:J36" si="12">$B36*24*C$18</f>
        <v>9.6043200000000009E-2</v>
      </c>
      <c r="F36" s="50">
        <f t="shared" si="12"/>
        <v>1.6336320000000002</v>
      </c>
      <c r="G36" s="50">
        <f t="shared" si="12"/>
        <v>3.9943200000000002E-4</v>
      </c>
      <c r="H36" s="50">
        <f t="shared" si="12"/>
        <v>3.2259744000000001E-3</v>
      </c>
      <c r="I36" s="50">
        <f t="shared" si="12"/>
        <v>0.99633600000000011</v>
      </c>
      <c r="J36" s="50">
        <f t="shared" si="12"/>
        <v>0.36711840000000001</v>
      </c>
    </row>
    <row r="39" spans="1:10" s="47" customFormat="1" ht="75" x14ac:dyDescent="0.25">
      <c r="A39" s="47" t="s">
        <v>43</v>
      </c>
      <c r="B39" s="47" t="s">
        <v>41</v>
      </c>
      <c r="C39" s="47" t="s">
        <v>42</v>
      </c>
    </row>
    <row r="40" spans="1:10" s="47" customFormat="1" x14ac:dyDescent="0.25">
      <c r="A40" s="47" t="s">
        <v>51</v>
      </c>
      <c r="B40" s="47">
        <v>8800</v>
      </c>
      <c r="C40" s="47">
        <v>500</v>
      </c>
    </row>
    <row r="41" spans="1:10" s="47" customFormat="1" ht="30" x14ac:dyDescent="0.25">
      <c r="A41" s="47" t="s">
        <v>46</v>
      </c>
      <c r="B41" s="47">
        <v>8800</v>
      </c>
      <c r="C41" s="47">
        <v>700</v>
      </c>
    </row>
    <row r="42" spans="1:10" x14ac:dyDescent="0.25">
      <c r="A42" t="s">
        <v>47</v>
      </c>
      <c r="B42">
        <v>8800</v>
      </c>
      <c r="C42">
        <v>1000</v>
      </c>
    </row>
    <row r="51" spans="3:3" ht="15.75" x14ac:dyDescent="0.25">
      <c r="C51" s="43"/>
    </row>
  </sheetData>
  <mergeCells count="9">
    <mergeCell ref="O3:U3"/>
    <mergeCell ref="D30:J30"/>
    <mergeCell ref="B16:H16"/>
    <mergeCell ref="I16:O16"/>
    <mergeCell ref="A21:B21"/>
    <mergeCell ref="D21:J21"/>
    <mergeCell ref="H10:M10"/>
    <mergeCell ref="H3:M3"/>
    <mergeCell ref="A30:B30"/>
  </mergeCells>
  <pageMargins left="0.7" right="0.7" top="0.75" bottom="0.75" header="0.3" footer="0.3"/>
  <pageSetup scale="87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7"/>
  <sheetViews>
    <sheetView zoomScaleNormal="100" workbookViewId="0">
      <selection activeCell="H17" sqref="H17"/>
    </sheetView>
  </sheetViews>
  <sheetFormatPr defaultRowHeight="15" x14ac:dyDescent="0.25"/>
  <cols>
    <col min="1" max="1" width="14.85546875" customWidth="1"/>
    <col min="2" max="2" width="11.85546875" customWidth="1"/>
    <col min="3" max="3" width="11" bestFit="1" customWidth="1"/>
    <col min="4" max="4" width="11" customWidth="1"/>
    <col min="5" max="5" width="16.85546875" customWidth="1"/>
    <col min="6" max="6" width="13.28515625" customWidth="1"/>
    <col min="7" max="7" width="13.7109375" customWidth="1"/>
    <col min="8" max="8" width="12" bestFit="1" customWidth="1"/>
    <col min="10" max="10" width="9.85546875" customWidth="1"/>
  </cols>
  <sheetData>
    <row r="1" spans="1:10" ht="60.75" thickBot="1" x14ac:dyDescent="0.3">
      <c r="A1" s="30" t="s">
        <v>14</v>
      </c>
      <c r="B1" s="31">
        <v>9</v>
      </c>
      <c r="C1" s="32" t="s">
        <v>15</v>
      </c>
      <c r="D1" s="33" t="s">
        <v>16</v>
      </c>
      <c r="E1" s="30" t="s">
        <v>17</v>
      </c>
      <c r="F1" s="33" t="s">
        <v>23</v>
      </c>
      <c r="G1" s="30" t="s">
        <v>18</v>
      </c>
      <c r="H1" s="33" t="s">
        <v>22</v>
      </c>
    </row>
    <row r="3" spans="1:10" ht="18" x14ac:dyDescent="0.35">
      <c r="A3" s="5"/>
      <c r="B3" s="5"/>
      <c r="C3" s="5"/>
      <c r="D3" s="6"/>
      <c r="E3" s="82" t="s">
        <v>13</v>
      </c>
      <c r="F3" s="83"/>
      <c r="G3" s="83"/>
      <c r="H3" s="83"/>
      <c r="I3" s="83"/>
      <c r="J3" s="84"/>
    </row>
    <row r="4" spans="1:10" x14ac:dyDescent="0.25">
      <c r="A4" s="7"/>
      <c r="B4" s="7"/>
      <c r="C4" s="7"/>
      <c r="D4" s="8"/>
      <c r="E4" s="4">
        <v>71432</v>
      </c>
      <c r="F4" s="4">
        <v>110543</v>
      </c>
      <c r="G4" s="4">
        <v>100414</v>
      </c>
      <c r="H4" s="4">
        <v>108883</v>
      </c>
      <c r="I4" s="4">
        <v>108383</v>
      </c>
      <c r="J4" s="4">
        <v>95636</v>
      </c>
    </row>
    <row r="5" spans="1:10" s="17" customFormat="1" ht="60" x14ac:dyDescent="0.25">
      <c r="A5" s="11" t="s">
        <v>0</v>
      </c>
      <c r="B5" s="10" t="s">
        <v>20</v>
      </c>
      <c r="C5" s="11" t="s">
        <v>10</v>
      </c>
      <c r="D5" s="15" t="s">
        <v>27</v>
      </c>
      <c r="E5" s="16" t="s">
        <v>4</v>
      </c>
      <c r="F5" s="16" t="s">
        <v>5</v>
      </c>
      <c r="G5" s="16" t="s">
        <v>6</v>
      </c>
      <c r="H5" s="16" t="s">
        <v>7</v>
      </c>
      <c r="I5" s="16" t="s">
        <v>8</v>
      </c>
      <c r="J5" s="16" t="s">
        <v>9</v>
      </c>
    </row>
    <row r="6" spans="1:10" x14ac:dyDescent="0.25">
      <c r="A6" s="1" t="s">
        <v>2</v>
      </c>
      <c r="B6" s="1">
        <v>109369</v>
      </c>
      <c r="C6" s="2" t="s">
        <v>11</v>
      </c>
      <c r="D6" s="26">
        <f>H14</f>
        <v>0.84333333333333327</v>
      </c>
      <c r="E6" s="4">
        <f>1*$D6/100</f>
        <v>8.4333333333333326E-3</v>
      </c>
      <c r="F6" s="4">
        <f t="shared" ref="F6" si="0">1*$D6/100</f>
        <v>8.4333333333333326E-3</v>
      </c>
      <c r="G6" s="4">
        <f>1.4*$D6/100</f>
        <v>1.1806666666666665E-2</v>
      </c>
      <c r="H6" s="4">
        <f>7*$D6/100</f>
        <v>5.9033333333333327E-2</v>
      </c>
      <c r="I6" s="4">
        <f>7*$D6/100</f>
        <v>5.9033333333333327E-2</v>
      </c>
      <c r="J6" s="4">
        <f>2.5*$D6/100</f>
        <v>2.1083333333333332E-2</v>
      </c>
    </row>
    <row r="7" spans="1:10" x14ac:dyDescent="0.25">
      <c r="A7" s="1" t="s">
        <v>2</v>
      </c>
      <c r="B7" s="1">
        <v>387622</v>
      </c>
      <c r="C7" s="2" t="s">
        <v>12</v>
      </c>
      <c r="D7" s="26">
        <f t="shared" ref="D7:D9" si="1">H15</f>
        <v>0.84333333333333327</v>
      </c>
      <c r="E7" s="4">
        <f>0.15*$D7/100</f>
        <v>1.2649999999999996E-3</v>
      </c>
      <c r="F7" s="4">
        <f>0.15*$D7/100</f>
        <v>1.2649999999999996E-3</v>
      </c>
      <c r="G7" s="4">
        <f>0.21*$D7/100</f>
        <v>1.7709999999999998E-3</v>
      </c>
      <c r="H7" s="4">
        <f>1.05*$D7/100</f>
        <v>8.855E-3</v>
      </c>
      <c r="I7" s="4">
        <f>1.05*$D7/100</f>
        <v>8.855E-3</v>
      </c>
      <c r="J7" s="4">
        <f>0.375*$D7/100</f>
        <v>3.1624999999999999E-3</v>
      </c>
    </row>
    <row r="8" spans="1:10" x14ac:dyDescent="0.25">
      <c r="A8" s="1" t="s">
        <v>2</v>
      </c>
      <c r="B8" s="1">
        <v>386791</v>
      </c>
      <c r="C8" s="2" t="s">
        <v>12</v>
      </c>
      <c r="D8" s="26">
        <f t="shared" si="1"/>
        <v>0.84333333333333327</v>
      </c>
      <c r="E8" s="4">
        <f>0.15*$D8/100</f>
        <v>1.2649999999999996E-3</v>
      </c>
      <c r="F8" s="4">
        <f>0.15*$D8/100</f>
        <v>1.2649999999999996E-3</v>
      </c>
      <c r="G8" s="4">
        <f>0.21*$D8/100</f>
        <v>1.7709999999999998E-3</v>
      </c>
      <c r="H8" s="4">
        <f>1.05*$D8/100</f>
        <v>8.855E-3</v>
      </c>
      <c r="I8" s="4">
        <f>1.05*$D8/100</f>
        <v>8.855E-3</v>
      </c>
      <c r="J8" s="4">
        <f>0.375*$D8/100</f>
        <v>3.1624999999999999E-3</v>
      </c>
    </row>
    <row r="9" spans="1:10" x14ac:dyDescent="0.25">
      <c r="A9" s="1" t="s">
        <v>1</v>
      </c>
      <c r="B9" s="1">
        <v>384085</v>
      </c>
      <c r="C9" s="2" t="s">
        <v>11</v>
      </c>
      <c r="D9" s="26">
        <f t="shared" si="1"/>
        <v>16.54</v>
      </c>
      <c r="E9" s="4">
        <f>1*$D9/100</f>
        <v>0.16539999999999999</v>
      </c>
      <c r="F9" s="4">
        <f t="shared" ref="F9" si="2">1*$D9/100</f>
        <v>0.16539999999999999</v>
      </c>
      <c r="G9" s="4">
        <f>1.4*$D9/100</f>
        <v>0.23155999999999999</v>
      </c>
      <c r="H9" s="4">
        <f>7*$D9/100</f>
        <v>1.1577999999999999</v>
      </c>
      <c r="I9" s="4">
        <f>7*$D9/100</f>
        <v>1.1577999999999999</v>
      </c>
      <c r="J9" s="4">
        <f>2.5*$D9/100</f>
        <v>0.41349999999999992</v>
      </c>
    </row>
    <row r="12" spans="1:10" ht="24.75" customHeight="1" thickBot="1" x14ac:dyDescent="0.3">
      <c r="A12" s="85" t="s">
        <v>29</v>
      </c>
      <c r="B12" s="85"/>
      <c r="C12" s="85"/>
      <c r="D12" s="85"/>
      <c r="E12" s="85"/>
      <c r="F12" s="85"/>
      <c r="G12" s="85"/>
      <c r="H12" s="85"/>
    </row>
    <row r="13" spans="1:10" ht="60" x14ac:dyDescent="0.25">
      <c r="A13" s="27" t="s">
        <v>0</v>
      </c>
      <c r="B13" s="28" t="s">
        <v>20</v>
      </c>
      <c r="C13" s="27" t="s">
        <v>10</v>
      </c>
      <c r="D13" s="29" t="s">
        <v>28</v>
      </c>
      <c r="E13" s="29" t="s">
        <v>25</v>
      </c>
      <c r="F13" s="29" t="s">
        <v>24</v>
      </c>
      <c r="G13" s="37" t="s">
        <v>26</v>
      </c>
      <c r="H13" s="40" t="s">
        <v>27</v>
      </c>
    </row>
    <row r="14" spans="1:10" x14ac:dyDescent="0.25">
      <c r="A14" s="1" t="s">
        <v>2</v>
      </c>
      <c r="B14" s="1">
        <v>109369</v>
      </c>
      <c r="C14" s="2" t="s">
        <v>11</v>
      </c>
      <c r="D14" s="41"/>
      <c r="E14" s="20"/>
      <c r="F14" s="20"/>
      <c r="G14" s="42"/>
      <c r="H14" s="38">
        <f>2.53/3</f>
        <v>0.84333333333333327</v>
      </c>
      <c r="J14" s="35"/>
    </row>
    <row r="15" spans="1:10" x14ac:dyDescent="0.25">
      <c r="A15" s="1" t="s">
        <v>2</v>
      </c>
      <c r="B15" s="1">
        <v>387622</v>
      </c>
      <c r="C15" s="2" t="s">
        <v>12</v>
      </c>
      <c r="D15" s="41"/>
      <c r="E15" s="20"/>
      <c r="F15" s="20"/>
      <c r="G15" s="42"/>
      <c r="H15" s="38">
        <f t="shared" ref="H15:H16" si="3">2.53/3</f>
        <v>0.84333333333333327</v>
      </c>
      <c r="J15" s="35"/>
    </row>
    <row r="16" spans="1:10" x14ac:dyDescent="0.25">
      <c r="A16" s="1" t="s">
        <v>2</v>
      </c>
      <c r="B16" s="1">
        <v>386791</v>
      </c>
      <c r="C16" s="2" t="s">
        <v>12</v>
      </c>
      <c r="D16" s="41"/>
      <c r="E16" s="20"/>
      <c r="F16" s="20"/>
      <c r="G16" s="42"/>
      <c r="H16" s="38">
        <f t="shared" si="3"/>
        <v>0.84333333333333327</v>
      </c>
      <c r="I16" s="34"/>
      <c r="J16" s="35"/>
    </row>
    <row r="17" spans="1:10" ht="15.75" thickBot="1" x14ac:dyDescent="0.3">
      <c r="A17" s="1" t="s">
        <v>1</v>
      </c>
      <c r="B17" s="1">
        <v>384085</v>
      </c>
      <c r="C17" s="2" t="s">
        <v>11</v>
      </c>
      <c r="D17" s="41"/>
      <c r="E17" s="20"/>
      <c r="F17" s="20"/>
      <c r="G17" s="42"/>
      <c r="H17" s="39">
        <v>16.54</v>
      </c>
      <c r="J17" s="36"/>
    </row>
  </sheetData>
  <mergeCells count="2">
    <mergeCell ref="E3:J3"/>
    <mergeCell ref="A12:H12"/>
  </mergeCells>
  <pageMargins left="0.7" right="0.7" top="0.75" bottom="0.75" header="0.3" footer="0.3"/>
  <pageSetup scale="9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209ABA-65D7-4FC6-A8D9-1B7498B08168}">
  <sheetPr>
    <pageSetUpPr fitToPage="1"/>
  </sheetPr>
  <dimension ref="A1:Q43"/>
  <sheetViews>
    <sheetView tabSelected="1" zoomScaleNormal="100" workbookViewId="0">
      <selection activeCell="A3" sqref="A3"/>
    </sheetView>
  </sheetViews>
  <sheetFormatPr defaultRowHeight="15" x14ac:dyDescent="0.25"/>
  <cols>
    <col min="1" max="1" width="14.85546875" customWidth="1"/>
    <col min="2" max="2" width="11.85546875" customWidth="1"/>
    <col min="3" max="3" width="11" bestFit="1" customWidth="1"/>
    <col min="4" max="4" width="11" customWidth="1"/>
    <col min="5" max="5" width="16.85546875" customWidth="1"/>
    <col min="6" max="6" width="13.28515625" customWidth="1"/>
    <col min="7" max="7" width="13.7109375" customWidth="1"/>
    <col min="8" max="8" width="12" bestFit="1" customWidth="1"/>
    <col min="10" max="10" width="9.85546875" customWidth="1"/>
  </cols>
  <sheetData>
    <row r="1" spans="1:17" ht="60.75" thickBot="1" x14ac:dyDescent="0.3">
      <c r="A1" s="30" t="s">
        <v>14</v>
      </c>
      <c r="B1" s="31">
        <v>9</v>
      </c>
      <c r="C1" s="32" t="s">
        <v>15</v>
      </c>
      <c r="D1" s="33" t="s">
        <v>16</v>
      </c>
      <c r="E1" s="30" t="s">
        <v>17</v>
      </c>
      <c r="F1" s="33" t="s">
        <v>23</v>
      </c>
      <c r="G1" s="30" t="s">
        <v>18</v>
      </c>
      <c r="H1" s="33" t="s">
        <v>22</v>
      </c>
    </row>
    <row r="3" spans="1:17" s="47" customFormat="1" ht="47.45" customHeight="1" x14ac:dyDescent="0.25">
      <c r="A3" s="44"/>
      <c r="B3" s="44"/>
      <c r="C3" s="44"/>
      <c r="D3" s="45"/>
      <c r="E3" s="80" t="s">
        <v>13</v>
      </c>
      <c r="F3" s="74"/>
      <c r="G3" s="74"/>
      <c r="H3" s="74"/>
      <c r="I3" s="74"/>
      <c r="J3" s="81"/>
      <c r="L3" s="86" t="s">
        <v>57</v>
      </c>
      <c r="M3" s="87"/>
      <c r="N3" s="88"/>
      <c r="O3" s="44"/>
      <c r="P3" s="44"/>
      <c r="Q3" s="44"/>
    </row>
    <row r="4" spans="1:17" x14ac:dyDescent="0.25">
      <c r="A4" s="7"/>
      <c r="B4" s="7"/>
      <c r="C4" s="7"/>
      <c r="D4" s="8"/>
      <c r="E4" s="4">
        <v>71432</v>
      </c>
      <c r="F4" s="4">
        <v>110543</v>
      </c>
      <c r="G4" s="4">
        <v>100414</v>
      </c>
      <c r="H4" s="4">
        <v>108883</v>
      </c>
      <c r="I4" s="4">
        <v>108383</v>
      </c>
      <c r="J4" s="4">
        <v>95636</v>
      </c>
      <c r="L4" s="4">
        <v>71432</v>
      </c>
      <c r="M4" s="4">
        <v>108883</v>
      </c>
      <c r="N4" s="4">
        <v>108383</v>
      </c>
    </row>
    <row r="5" spans="1:17" s="17" customFormat="1" ht="60" x14ac:dyDescent="0.25">
      <c r="A5" s="11" t="s">
        <v>0</v>
      </c>
      <c r="B5" s="10" t="s">
        <v>20</v>
      </c>
      <c r="C5" s="11" t="s">
        <v>10</v>
      </c>
      <c r="D5" s="15" t="s">
        <v>27</v>
      </c>
      <c r="E5" s="16" t="s">
        <v>4</v>
      </c>
      <c r="F5" s="16" t="s">
        <v>5</v>
      </c>
      <c r="G5" s="16" t="s">
        <v>6</v>
      </c>
      <c r="H5" s="16" t="s">
        <v>7</v>
      </c>
      <c r="I5" s="16" t="s">
        <v>8</v>
      </c>
      <c r="J5" s="16" t="s">
        <v>9</v>
      </c>
      <c r="L5" s="16" t="s">
        <v>4</v>
      </c>
      <c r="M5" s="16" t="s">
        <v>7</v>
      </c>
      <c r="N5" s="16" t="s">
        <v>31</v>
      </c>
    </row>
    <row r="6" spans="1:17" x14ac:dyDescent="0.25">
      <c r="A6" s="1" t="s">
        <v>2</v>
      </c>
      <c r="B6" s="1">
        <v>109369</v>
      </c>
      <c r="C6" s="2" t="s">
        <v>11</v>
      </c>
      <c r="D6" s="26">
        <f>H14</f>
        <v>0.84333333333333327</v>
      </c>
      <c r="E6" s="91">
        <f>1*$D6/100</f>
        <v>8.4333333333333326E-3</v>
      </c>
      <c r="F6" s="91">
        <f t="shared" ref="F6" si="0">1*$D6/100</f>
        <v>8.4333333333333326E-3</v>
      </c>
      <c r="G6" s="91">
        <f>1.4*$D6/100</f>
        <v>1.1806666666666665E-2</v>
      </c>
      <c r="H6" s="91">
        <f>7*$D6/100</f>
        <v>5.9033333333333327E-2</v>
      </c>
      <c r="I6" s="91">
        <f>7*$D6/100</f>
        <v>5.9033333333333327E-2</v>
      </c>
      <c r="J6" s="91">
        <f>2.5*$D6/100</f>
        <v>2.1083333333333332E-2</v>
      </c>
      <c r="L6" s="58">
        <f>SUM(D25:D29)</f>
        <v>9.1368749999999992E-3</v>
      </c>
      <c r="M6" s="58">
        <f t="shared" ref="M6:N6" si="1">SUM(E25:E29)</f>
        <v>2.7356250000000002E-2</v>
      </c>
      <c r="N6" s="58">
        <f t="shared" si="1"/>
        <v>1.5982141666666668E-2</v>
      </c>
    </row>
    <row r="7" spans="1:17" x14ac:dyDescent="0.25">
      <c r="A7" s="1" t="s">
        <v>2</v>
      </c>
      <c r="B7" s="1">
        <v>387622</v>
      </c>
      <c r="C7" s="2" t="s">
        <v>12</v>
      </c>
      <c r="D7" s="26">
        <f t="shared" ref="D7:D9" si="2">H15</f>
        <v>0.84333333333333327</v>
      </c>
      <c r="E7" s="4">
        <f>0.15*$D7/100</f>
        <v>1.2649999999999996E-3</v>
      </c>
      <c r="F7" s="4">
        <f>0.15*$D7/100</f>
        <v>1.2649999999999996E-3</v>
      </c>
      <c r="G7" s="4">
        <f>0.21*$D7/100</f>
        <v>1.7709999999999998E-3</v>
      </c>
      <c r="H7" s="4">
        <f>1.05*$D7/100</f>
        <v>8.855E-3</v>
      </c>
      <c r="I7" s="4">
        <f>1.05*$D7/100</f>
        <v>8.855E-3</v>
      </c>
      <c r="J7" s="4">
        <f>0.375*$D7/100</f>
        <v>3.1624999999999999E-3</v>
      </c>
    </row>
    <row r="8" spans="1:17" x14ac:dyDescent="0.25">
      <c r="A8" s="1" t="s">
        <v>2</v>
      </c>
      <c r="B8" s="1">
        <v>386791</v>
      </c>
      <c r="C8" s="2" t="s">
        <v>12</v>
      </c>
      <c r="D8" s="26">
        <f t="shared" si="2"/>
        <v>0.84333333333333327</v>
      </c>
      <c r="E8" s="4">
        <f>0.15*$D8/100</f>
        <v>1.2649999999999996E-3</v>
      </c>
      <c r="F8" s="4">
        <f>0.15*$D8/100</f>
        <v>1.2649999999999996E-3</v>
      </c>
      <c r="G8" s="4">
        <f>0.21*$D8/100</f>
        <v>1.7709999999999998E-3</v>
      </c>
      <c r="H8" s="4">
        <f>1.05*$D8/100</f>
        <v>8.855E-3</v>
      </c>
      <c r="I8" s="4">
        <f>1.05*$D8/100</f>
        <v>8.855E-3</v>
      </c>
      <c r="J8" s="4">
        <f>0.375*$D8/100</f>
        <v>3.1624999999999999E-3</v>
      </c>
    </row>
    <row r="9" spans="1:17" x14ac:dyDescent="0.25">
      <c r="A9" s="1" t="s">
        <v>1</v>
      </c>
      <c r="B9" s="1">
        <v>384085</v>
      </c>
      <c r="C9" s="2" t="s">
        <v>11</v>
      </c>
      <c r="D9" s="26">
        <f t="shared" si="2"/>
        <v>16.54</v>
      </c>
      <c r="E9" s="91">
        <f>1*$D9/100</f>
        <v>0.16539999999999999</v>
      </c>
      <c r="F9" s="91">
        <f t="shared" ref="F9" si="3">1*$D9/100</f>
        <v>0.16539999999999999</v>
      </c>
      <c r="G9" s="91">
        <f>1.4*$D9/100</f>
        <v>0.23155999999999999</v>
      </c>
      <c r="H9" s="91">
        <f>7*$D9/100</f>
        <v>1.1577999999999999</v>
      </c>
      <c r="I9" s="91">
        <f>7*$D9/100</f>
        <v>1.1577999999999999</v>
      </c>
      <c r="J9" s="91">
        <f>2.5*$D9/100</f>
        <v>0.41349999999999992</v>
      </c>
      <c r="L9" s="58">
        <f>SUM(D34:D38)</f>
        <v>1.1072700000000001E-2</v>
      </c>
      <c r="M9" s="58">
        <f t="shared" ref="M9:N9" si="4">SUM(E34:E38)</f>
        <v>3.7005000000000003E-2</v>
      </c>
      <c r="N9" s="58">
        <f t="shared" si="4"/>
        <v>2.5287899999999995E-2</v>
      </c>
    </row>
    <row r="12" spans="1:17" ht="24.75" customHeight="1" thickBot="1" x14ac:dyDescent="0.3">
      <c r="A12" s="85" t="s">
        <v>29</v>
      </c>
      <c r="B12" s="85"/>
      <c r="C12" s="85"/>
      <c r="D12" s="85"/>
      <c r="E12" s="85"/>
      <c r="F12" s="85"/>
      <c r="G12" s="85"/>
      <c r="H12" s="85"/>
    </row>
    <row r="13" spans="1:17" ht="60" x14ac:dyDescent="0.25">
      <c r="A13" s="27" t="s">
        <v>0</v>
      </c>
      <c r="B13" s="28" t="s">
        <v>20</v>
      </c>
      <c r="C13" s="27" t="s">
        <v>10</v>
      </c>
      <c r="D13" s="29" t="s">
        <v>28</v>
      </c>
      <c r="E13" s="29" t="s">
        <v>25</v>
      </c>
      <c r="F13" s="29" t="s">
        <v>24</v>
      </c>
      <c r="G13" s="37" t="s">
        <v>26</v>
      </c>
      <c r="H13" s="40" t="s">
        <v>27</v>
      </c>
    </row>
    <row r="14" spans="1:17" x14ac:dyDescent="0.25">
      <c r="A14" s="1" t="s">
        <v>2</v>
      </c>
      <c r="B14" s="1">
        <v>109369</v>
      </c>
      <c r="C14" s="2" t="s">
        <v>11</v>
      </c>
      <c r="D14" s="41"/>
      <c r="E14" s="20"/>
      <c r="F14" s="20"/>
      <c r="G14" s="42"/>
      <c r="H14" s="38">
        <f>2.53/3</f>
        <v>0.84333333333333327</v>
      </c>
      <c r="J14" s="35"/>
    </row>
    <row r="15" spans="1:17" x14ac:dyDescent="0.25">
      <c r="A15" s="1" t="s">
        <v>2</v>
      </c>
      <c r="B15" s="1">
        <v>387622</v>
      </c>
      <c r="C15" s="2" t="s">
        <v>12</v>
      </c>
      <c r="D15" s="41"/>
      <c r="E15" s="20"/>
      <c r="F15" s="20"/>
      <c r="G15" s="42"/>
      <c r="H15" s="38">
        <f t="shared" ref="H15:H16" si="5">2.53/3</f>
        <v>0.84333333333333327</v>
      </c>
      <c r="J15" s="35"/>
    </row>
    <row r="16" spans="1:17" x14ac:dyDescent="0.25">
      <c r="A16" s="1" t="s">
        <v>2</v>
      </c>
      <c r="B16" s="1">
        <v>386791</v>
      </c>
      <c r="C16" s="2" t="s">
        <v>12</v>
      </c>
      <c r="D16" s="41"/>
      <c r="E16" s="20"/>
      <c r="F16" s="20"/>
      <c r="G16" s="42"/>
      <c r="H16" s="38">
        <f t="shared" si="5"/>
        <v>0.84333333333333327</v>
      </c>
      <c r="I16" s="34"/>
      <c r="J16" s="35"/>
    </row>
    <row r="17" spans="1:10" ht="15.75" thickBot="1" x14ac:dyDescent="0.3">
      <c r="A17" s="1" t="s">
        <v>1</v>
      </c>
      <c r="B17" s="1">
        <v>384085</v>
      </c>
      <c r="C17" s="2" t="s">
        <v>11</v>
      </c>
      <c r="D17" s="41"/>
      <c r="E17" s="20"/>
      <c r="F17" s="20"/>
      <c r="G17" s="42"/>
      <c r="H17" s="39">
        <v>16.54</v>
      </c>
      <c r="J17" s="36"/>
    </row>
    <row r="19" spans="1:10" x14ac:dyDescent="0.25">
      <c r="A19" s="53"/>
      <c r="B19" s="89" t="s">
        <v>44</v>
      </c>
      <c r="C19" s="89"/>
      <c r="D19" s="89"/>
      <c r="E19" s="90" t="s">
        <v>45</v>
      </c>
      <c r="F19" s="83"/>
      <c r="G19" s="84"/>
    </row>
    <row r="20" spans="1:10" s="47" customFormat="1" ht="30" x14ac:dyDescent="0.25">
      <c r="A20" s="54" t="s">
        <v>32</v>
      </c>
      <c r="B20" s="48" t="s">
        <v>4</v>
      </c>
      <c r="C20" s="48" t="s">
        <v>7</v>
      </c>
      <c r="D20" s="52" t="s">
        <v>31</v>
      </c>
      <c r="E20" s="51" t="s">
        <v>4</v>
      </c>
      <c r="F20" s="48" t="s">
        <v>7</v>
      </c>
      <c r="G20" s="48" t="s">
        <v>31</v>
      </c>
    </row>
    <row r="21" spans="1:10" x14ac:dyDescent="0.25">
      <c r="A21" s="55"/>
      <c r="B21" s="7">
        <f>0.549/100</f>
        <v>5.4900000000000001E-3</v>
      </c>
      <c r="C21" s="7">
        <f>1.35/100</f>
        <v>1.3500000000000002E-2</v>
      </c>
      <c r="D21" s="7">
        <f>0.509/100</f>
        <v>5.0899999999999999E-3</v>
      </c>
      <c r="E21" s="56">
        <f>0.702/100</f>
        <v>7.0199999999999993E-3</v>
      </c>
      <c r="F21" s="7">
        <f>5.8/100</f>
        <v>5.7999999999999996E-2</v>
      </c>
      <c r="G21" s="8">
        <f>6.91/100</f>
        <v>6.9099999999999995E-2</v>
      </c>
    </row>
    <row r="23" spans="1:10" ht="15.75" thickBot="1" x14ac:dyDescent="0.3">
      <c r="A23" s="73" t="s">
        <v>33</v>
      </c>
      <c r="B23" s="73"/>
      <c r="D23" s="73" t="s">
        <v>55</v>
      </c>
      <c r="E23" s="73"/>
      <c r="F23" s="73"/>
    </row>
    <row r="24" spans="1:10" s="47" customFormat="1" ht="29.1" customHeight="1" x14ac:dyDescent="0.25">
      <c r="A24" s="47" t="s">
        <v>34</v>
      </c>
      <c r="B24" s="47" t="s">
        <v>40</v>
      </c>
      <c r="D24" s="57" t="s">
        <v>4</v>
      </c>
      <c r="E24" s="57" t="s">
        <v>7</v>
      </c>
      <c r="F24" s="57" t="s">
        <v>31</v>
      </c>
    </row>
    <row r="25" spans="1:10" x14ac:dyDescent="0.25">
      <c r="A25" t="s">
        <v>35</v>
      </c>
      <c r="B25">
        <v>0.15</v>
      </c>
      <c r="D25" s="49">
        <f>$B$42*$B25/1000*B$21</f>
        <v>7.2468000000000003E-3</v>
      </c>
      <c r="E25" s="49">
        <f t="shared" ref="E25:F25" si="6">$B$42*$B25/1000*C$21</f>
        <v>1.7820000000000003E-2</v>
      </c>
      <c r="F25" s="49">
        <f t="shared" si="6"/>
        <v>6.7188000000000005E-3</v>
      </c>
    </row>
    <row r="26" spans="1:10" x14ac:dyDescent="0.25">
      <c r="A26" t="s">
        <v>36</v>
      </c>
      <c r="B26">
        <v>2.4E-2</v>
      </c>
      <c r="D26" s="49">
        <f>$C$42*$B26/1000*B$21</f>
        <v>6.5879999999999999E-5</v>
      </c>
      <c r="E26" s="49">
        <f t="shared" ref="E26:F27" si="7">$C$42*$B26/1000*C$21</f>
        <v>1.6200000000000003E-4</v>
      </c>
      <c r="F26" s="49">
        <f t="shared" si="7"/>
        <v>6.1080000000000005E-5</v>
      </c>
    </row>
    <row r="27" spans="1:10" x14ac:dyDescent="0.25">
      <c r="A27" t="s">
        <v>37</v>
      </c>
      <c r="B27">
        <v>0.35599999999999998</v>
      </c>
      <c r="D27" s="49">
        <f>$C$42*$B27/1000*B$21</f>
        <v>9.7722E-4</v>
      </c>
      <c r="E27" s="49">
        <f t="shared" si="7"/>
        <v>2.4030000000000002E-3</v>
      </c>
      <c r="F27" s="49">
        <f t="shared" si="7"/>
        <v>9.0601999999999989E-4</v>
      </c>
    </row>
    <row r="28" spans="1:10" x14ac:dyDescent="0.25">
      <c r="A28" t="s">
        <v>38</v>
      </c>
      <c r="B28">
        <v>0.24</v>
      </c>
      <c r="D28" s="49">
        <f>$C$42*$B28/1000*E$21</f>
        <v>8.4239999999999988E-4</v>
      </c>
      <c r="E28" s="49">
        <f t="shared" ref="E28:F28" si="8">$C$42*$B28/1000*F$21</f>
        <v>6.9599999999999992E-3</v>
      </c>
      <c r="F28" s="49">
        <f t="shared" si="8"/>
        <v>8.291999999999999E-3</v>
      </c>
    </row>
    <row r="29" spans="1:10" x14ac:dyDescent="0.25">
      <c r="A29" t="s">
        <v>39</v>
      </c>
      <c r="B29">
        <v>0.01</v>
      </c>
      <c r="D29" s="50">
        <f>$B29*2/24*B$21</f>
        <v>4.5750000000000002E-6</v>
      </c>
      <c r="E29" s="50">
        <f>$B29*2/24*C$21</f>
        <v>1.1250000000000002E-5</v>
      </c>
      <c r="F29" s="50">
        <f>$B29*2/24*D$21</f>
        <v>4.241666666666667E-6</v>
      </c>
    </row>
    <row r="32" spans="1:10" ht="15.75" thickBot="1" x14ac:dyDescent="0.3">
      <c r="A32" s="73" t="s">
        <v>33</v>
      </c>
      <c r="B32" s="73"/>
      <c r="D32" s="73" t="s">
        <v>56</v>
      </c>
      <c r="E32" s="73"/>
      <c r="F32" s="73"/>
    </row>
    <row r="33" spans="1:6" s="47" customFormat="1" ht="29.1" customHeight="1" x14ac:dyDescent="0.25">
      <c r="A33" s="47" t="s">
        <v>34</v>
      </c>
      <c r="B33" s="47" t="s">
        <v>40</v>
      </c>
      <c r="D33" s="57" t="s">
        <v>4</v>
      </c>
      <c r="E33" s="57" t="s">
        <v>7</v>
      </c>
      <c r="F33" s="57" t="s">
        <v>31</v>
      </c>
    </row>
    <row r="34" spans="1:6" x14ac:dyDescent="0.25">
      <c r="A34" t="s">
        <v>35</v>
      </c>
      <c r="B34">
        <v>0.15</v>
      </c>
      <c r="D34" s="49">
        <f>$B$43*$B34/1000*B$21</f>
        <v>7.2468000000000003E-3</v>
      </c>
      <c r="E34" s="49">
        <f>$B$43*$B34/1000*C$21</f>
        <v>1.7820000000000003E-2</v>
      </c>
      <c r="F34" s="49">
        <f>$B$43*$B34/1000*D$21</f>
        <v>6.7188000000000005E-3</v>
      </c>
    </row>
    <row r="35" spans="1:6" x14ac:dyDescent="0.25">
      <c r="A35" t="s">
        <v>36</v>
      </c>
      <c r="B35">
        <v>2.4E-2</v>
      </c>
      <c r="D35" s="49">
        <f t="shared" ref="D35:F36" si="9">$C$43*$B35/1000*B$21</f>
        <v>1.3176E-4</v>
      </c>
      <c r="E35" s="49">
        <f t="shared" si="9"/>
        <v>3.2400000000000007E-4</v>
      </c>
      <c r="F35" s="49">
        <f t="shared" si="9"/>
        <v>1.2216000000000001E-4</v>
      </c>
    </row>
    <row r="36" spans="1:6" x14ac:dyDescent="0.25">
      <c r="A36" t="s">
        <v>37</v>
      </c>
      <c r="B36">
        <v>0.35599999999999998</v>
      </c>
      <c r="D36" s="49">
        <f t="shared" si="9"/>
        <v>1.95444E-3</v>
      </c>
      <c r="E36" s="49">
        <f t="shared" si="9"/>
        <v>4.8060000000000004E-3</v>
      </c>
      <c r="F36" s="49">
        <f t="shared" si="9"/>
        <v>1.8120399999999998E-3</v>
      </c>
    </row>
    <row r="37" spans="1:6" x14ac:dyDescent="0.25">
      <c r="A37" t="s">
        <v>38</v>
      </c>
      <c r="B37">
        <v>0.24</v>
      </c>
      <c r="D37" s="49">
        <f>$C$43*$B37/1000*E$21</f>
        <v>1.6847999999999998E-3</v>
      </c>
      <c r="E37" s="49">
        <f>$C$43*$B37/1000*F$21</f>
        <v>1.3919999999999998E-2</v>
      </c>
      <c r="F37" s="49">
        <f>$C$43*$B37/1000*G$21</f>
        <v>1.6583999999999998E-2</v>
      </c>
    </row>
    <row r="38" spans="1:6" x14ac:dyDescent="0.25">
      <c r="A38" t="s">
        <v>39</v>
      </c>
      <c r="B38">
        <v>0.01</v>
      </c>
      <c r="D38" s="50">
        <f>$B38*24/24*B$21</f>
        <v>5.49E-5</v>
      </c>
      <c r="E38" s="50">
        <f t="shared" ref="E38:F38" si="10">$B38*24/24*C$21</f>
        <v>1.3500000000000003E-4</v>
      </c>
      <c r="F38" s="50">
        <f t="shared" si="10"/>
        <v>5.0899999999999997E-5</v>
      </c>
    </row>
    <row r="41" spans="1:6" s="47" customFormat="1" ht="75" x14ac:dyDescent="0.25">
      <c r="A41" s="47" t="s">
        <v>43</v>
      </c>
      <c r="B41" s="47" t="s">
        <v>41</v>
      </c>
      <c r="C41" s="47" t="s">
        <v>42</v>
      </c>
    </row>
    <row r="42" spans="1:6" s="47" customFormat="1" ht="30" x14ac:dyDescent="0.25">
      <c r="A42" s="47" t="s">
        <v>54</v>
      </c>
      <c r="B42" s="47">
        <v>8800</v>
      </c>
      <c r="C42" s="47">
        <v>500</v>
      </c>
    </row>
    <row r="43" spans="1:6" x14ac:dyDescent="0.25">
      <c r="A43" t="s">
        <v>47</v>
      </c>
      <c r="B43">
        <v>8800</v>
      </c>
      <c r="C43">
        <v>1000</v>
      </c>
    </row>
  </sheetData>
  <mergeCells count="9">
    <mergeCell ref="E3:J3"/>
    <mergeCell ref="A12:H12"/>
    <mergeCell ref="L3:N3"/>
    <mergeCell ref="A32:B32"/>
    <mergeCell ref="B19:D19"/>
    <mergeCell ref="E19:G19"/>
    <mergeCell ref="D32:F32"/>
    <mergeCell ref="A23:B23"/>
    <mergeCell ref="D23:F23"/>
  </mergeCells>
  <pageMargins left="0.7" right="0.7" top="0.75" bottom="0.75" header="0.3" footer="0.3"/>
  <pageSetup scale="91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BEC926CA8234448BBDAA66811C990D" ma:contentTypeVersion="10" ma:contentTypeDescription="Create a new document." ma:contentTypeScope="" ma:versionID="fe89b1534614e2f724f58fcd29f8ea74">
  <xsd:schema xmlns:xsd="http://www.w3.org/2001/XMLSchema" xmlns:xs="http://www.w3.org/2001/XMLSchema" xmlns:p="http://schemas.microsoft.com/office/2006/metadata/properties" xmlns:ns2="63591261-97e9-4074-ab3f-a6a63f75c3a8" xmlns:ns3="52f5fa2e-4e58-4301-97f3-6e02fdcd3c2e" targetNamespace="http://schemas.microsoft.com/office/2006/metadata/properties" ma:root="true" ma:fieldsID="a8688c15d3c7c11fabf46f341972aad2" ns2:_="" ns3:_="">
    <xsd:import namespace="63591261-97e9-4074-ab3f-a6a63f75c3a8"/>
    <xsd:import namespace="52f5fa2e-4e58-4301-97f3-6e02fdcd3c2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591261-97e9-4074-ab3f-a6a63f75c3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c166aa50-2606-4bee-b14b-7e98c91f201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f5fa2e-4e58-4301-97f3-6e02fdcd3c2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4c82124-53cb-4ca7-b164-20733690f99e}" ma:internalName="TaxCatchAll" ma:showField="CatchAllData" ma:web="52f5fa2e-4e58-4301-97f3-6e02fdcd3c2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2f5fa2e-4e58-4301-97f3-6e02fdcd3c2e" xsi:nil="true"/>
    <lcf76f155ced4ddcb4097134ff3c332f xmlns="63591261-97e9-4074-ab3f-a6a63f75c3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E36517E-8685-4B46-B59C-842F70B2AF1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36FE1E2-66CA-4E99-A5C9-89A36DC9D21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3591261-97e9-4074-ab3f-a6a63f75c3a8"/>
    <ds:schemaRef ds:uri="52f5fa2e-4e58-4301-97f3-6e02fdcd3c2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78FE5C8-4276-4B7F-AEC9-DD7004532480}">
  <ds:schemaRefs>
    <ds:schemaRef ds:uri="http://schemas.microsoft.com/office/2006/metadata/properties"/>
    <ds:schemaRef ds:uri="http://schemas.microsoft.com/office/infopath/2007/PartnerControls"/>
    <ds:schemaRef ds:uri="52f5fa2e-4e58-4301-97f3-6e02fdcd3c2e"/>
    <ds:schemaRef ds:uri="63591261-97e9-4074-ab3f-a6a63f75c3a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Annual</vt:lpstr>
      <vt:lpstr>Hourly</vt:lpstr>
      <vt:lpstr>Hourly (2)</vt:lpstr>
    </vt:vector>
  </TitlesOfParts>
  <Company>AECOM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chaabaner</dc:creator>
  <cp:lastModifiedBy>Chaabane, Ramzi</cp:lastModifiedBy>
  <cp:lastPrinted>2012-07-23T18:38:45Z</cp:lastPrinted>
  <dcterms:created xsi:type="dcterms:W3CDTF">2012-06-01T22:29:09Z</dcterms:created>
  <dcterms:modified xsi:type="dcterms:W3CDTF">2022-12-23T01:35:37Z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0x01010019BEC926CA8234448BBDAA66811C990D</vt:lpwstr>
  </property>
  <property fmtid="{D5CDD505-2E9C-101B-9397-08002B2CF9AE}" pid="3" name="MediaServiceImageTags">
    <vt:lpwstr/>
  </property>
</Properties>
</file>