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capcd.org\shares\Groups\ENGR\LIBRARY\Permitting\Emission Calculation Spreadsheets\Current Versions\External Use\"/>
    </mc:Choice>
  </mc:AlternateContent>
  <bookViews>
    <workbookView xWindow="600" yWindow="405" windowWidth="16035" windowHeight="12750"/>
  </bookViews>
  <sheets>
    <sheet name="Fixed Roof Tank" sheetId="4" r:id="rId1"/>
    <sheet name="Floating Roof Tank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1">#REF!</definedName>
    <definedName name="\0">#REF!</definedName>
    <definedName name="\M" localSheetId="0">#REF!</definedName>
    <definedName name="\M" localSheetId="1">#REF!</definedName>
    <definedName name="\M">#REF!</definedName>
    <definedName name="\R" localSheetId="0">#REF!</definedName>
    <definedName name="\R" localSheetId="1">#REF!</definedName>
    <definedName name="\R">#REF!</definedName>
    <definedName name="\S" localSheetId="0">#REF!</definedName>
    <definedName name="\S" localSheetId="1">#REF!</definedName>
    <definedName name="\S">#REF!</definedName>
    <definedName name="__________________HHV2" localSheetId="1">#REF!</definedName>
    <definedName name="__________________HHV2">#REF!</definedName>
    <definedName name="__________________MFR1" localSheetId="1">#REF!</definedName>
    <definedName name="__________________MFR1">#REF!</definedName>
    <definedName name="_________________HHV2">#REF!</definedName>
    <definedName name="_________________MFR1">#REF!</definedName>
    <definedName name="________________HHV2">#REF!</definedName>
    <definedName name="________________MFR1">#REF!</definedName>
    <definedName name="_______________HHV2">#REF!</definedName>
    <definedName name="_______________MFR1">#REF!</definedName>
    <definedName name="______________HHV2">#REF!</definedName>
    <definedName name="______________MFR1">#REF!</definedName>
    <definedName name="_____________HHV2">#REF!</definedName>
    <definedName name="_____________MFR1">#REF!</definedName>
    <definedName name="___________HHV2">#REF!</definedName>
    <definedName name="___________MFR1">#REF!</definedName>
    <definedName name="__________HHV2">#REF!</definedName>
    <definedName name="__________MFR1">#REF!</definedName>
    <definedName name="_________HHV2">#REF!</definedName>
    <definedName name="_________MFR1">#REF!</definedName>
    <definedName name="________HHV2">#REF!</definedName>
    <definedName name="________MFR1">#REF!</definedName>
    <definedName name="_______HHV2">#REF!</definedName>
    <definedName name="_______MFR1">#REF!</definedName>
    <definedName name="______HHV2">#REF!</definedName>
    <definedName name="______MFR1">#REF!</definedName>
    <definedName name="_____HHV2">#REF!</definedName>
    <definedName name="_____MFR1">#REF!</definedName>
    <definedName name="____HHV2" localSheetId="1">#REF!</definedName>
    <definedName name="____HHV2">#REF!</definedName>
    <definedName name="____MFR1" localSheetId="1">#REF!</definedName>
    <definedName name="____MFR1">#REF!</definedName>
    <definedName name="___HHV2" localSheetId="1">#REF!</definedName>
    <definedName name="___HHV2">#REF!</definedName>
    <definedName name="___MFR1" localSheetId="1">#REF!</definedName>
    <definedName name="___MFR1">#REF!</definedName>
    <definedName name="__123Graph_A" localSheetId="0" hidden="1">#REF!</definedName>
    <definedName name="__123Graph_A" localSheetId="1" hidden="1">#REF!</definedName>
    <definedName name="__123Graph_A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X" localSheetId="0" hidden="1">#REF!</definedName>
    <definedName name="__123Graph_X" localSheetId="1" hidden="1">#REF!</definedName>
    <definedName name="__123Graph_X" hidden="1">#REF!</definedName>
    <definedName name="__HHV2" localSheetId="1">#REF!</definedName>
    <definedName name="__HHV2">#REF!</definedName>
    <definedName name="__MFR1" localSheetId="1">#REF!</definedName>
    <definedName name="__MFR1">#REF!</definedName>
    <definedName name="_HHV2" localSheetId="1">#REF!</definedName>
    <definedName name="_HHV2">#REF!</definedName>
    <definedName name="_MFR1" localSheetId="1">#REF!</definedName>
    <definedName name="_MFR1">#REF!</definedName>
    <definedName name="_MW1">[1]Variables!$B$9</definedName>
    <definedName name="_S" localSheetId="0">#REF!</definedName>
    <definedName name="_S" localSheetId="1">#REF!</definedName>
    <definedName name="_S">#REF!</definedName>
    <definedName name="_T" localSheetId="0">#REF!</definedName>
    <definedName name="_T" localSheetId="1">#REF!</definedName>
    <definedName name="_T">#REF!</definedName>
    <definedName name="_TP1">[1]Variables!$B$10</definedName>
    <definedName name="A.1">'[2]2002 Fee Adjustment'!$B$6</definedName>
    <definedName name="A.1min">'[2]2002 Fee Adjustment'!$C$6</definedName>
    <definedName name="A.2">'[2]2002 Fee Adjustment'!$B$7</definedName>
    <definedName name="A.2max">'[2]2002 Fee Adjustment'!$D$7</definedName>
    <definedName name="A.2min">'[2]2002 Fee Adjustment'!$C$7</definedName>
    <definedName name="A.3">'[2]2002 Fee Adjustment'!$B$8</definedName>
    <definedName name="A.3max">'[2]2002 Fee Adjustment'!$D$8</definedName>
    <definedName name="A.3min">'[2]2002 Fee Adjustment'!$C$8</definedName>
    <definedName name="A.4">'[2]2002 Fee Adjustment'!$B$9</definedName>
    <definedName name="A.4max">'[2]2002 Fee Adjustment'!$D$9</definedName>
    <definedName name="A.4min">'[2]2002 Fee Adjustment'!$C$9</definedName>
    <definedName name="A.5">'[2]2002 Fee Adjustment'!$B$10</definedName>
    <definedName name="A.5max">'[2]2002 Fee Adjustment'!$D$10</definedName>
    <definedName name="A.5min">'[2]2002 Fee Adjustment'!$C$10</definedName>
    <definedName name="A.6">'[2]2002 Fee Adjustment'!$B$11</definedName>
    <definedName name="A.6max">'[2]2002 Fee Adjustment'!$D$11</definedName>
    <definedName name="A.6min">'[2]2002 Fee Adjustment'!$C$11</definedName>
    <definedName name="A.7">'[2]2002 Fee Adjustment'!$B$12</definedName>
    <definedName name="Annual_Concrete_Production">'[3]Facility Info and EF''s'!$C$14</definedName>
    <definedName name="api">'[4]Input Data'!$B$17</definedName>
    <definedName name="AProd" localSheetId="0">'[5]Loading Rack'!$D$24</definedName>
    <definedName name="AProd">'[6]Loading Rack'!$D$24</definedName>
    <definedName name="att_no" localSheetId="0">#REF!</definedName>
    <definedName name="att_no" localSheetId="1">#REF!</definedName>
    <definedName name="att_no">#REF!</definedName>
    <definedName name="BACT_TH">#REF!</definedName>
    <definedName name="BHP" localSheetId="0">#REF!</definedName>
    <definedName name="BHP" localSheetId="1">#REF!</definedName>
    <definedName name="BHP">#REF!</definedName>
    <definedName name="BOILER_HP" localSheetId="0">#REF!</definedName>
    <definedName name="BOILER_HP" localSheetId="1">#REF!</definedName>
    <definedName name="BOILER_HP">#REF!</definedName>
    <definedName name="BOILER_MFG" localSheetId="0">#REF!</definedName>
    <definedName name="BOILER_MFG" localSheetId="1">#REF!</definedName>
    <definedName name="BOILER_MFG">#REF!</definedName>
    <definedName name="BOILER_MOD" localSheetId="0">#REF!</definedName>
    <definedName name="BOILER_MOD" localSheetId="1">#REF!</definedName>
    <definedName name="BOILER_MOD">#REF!</definedName>
    <definedName name="BOILER_SER" localSheetId="0">#REF!</definedName>
    <definedName name="BOILER_SER" localSheetId="1">#REF!</definedName>
    <definedName name="BOILER_SER">#REF!</definedName>
    <definedName name="BOILER_TYPE" localSheetId="0">#REF!</definedName>
    <definedName name="BOILER_TYPE" localSheetId="1">#REF!</definedName>
    <definedName name="BOILER_TYPE">#REF!</definedName>
    <definedName name="BOILT2" localSheetId="0">#REF!</definedName>
    <definedName name="BOILT2" localSheetId="1">#REF!</definedName>
    <definedName name="BOILT2">#REF!</definedName>
    <definedName name="bow_ratio" localSheetId="1">#REF!</definedName>
    <definedName name="bow_ratio">#REF!</definedName>
    <definedName name="BSFC" localSheetId="0">#REF!</definedName>
    <definedName name="BSFC" localSheetId="1">#REF!</definedName>
    <definedName name="BSFC">#REF!</definedName>
    <definedName name="BSFC_Lean">#REF!</definedName>
    <definedName name="BSFC_Rich">#REF!</definedName>
    <definedName name="BSFC100">#REF!</definedName>
    <definedName name="BSFC50">#REF!</definedName>
    <definedName name="BURNER_MFG" localSheetId="0">#REF!</definedName>
    <definedName name="BURNER_MFG" localSheetId="1">#REF!</definedName>
    <definedName name="BURNER_MFG">#REF!</definedName>
    <definedName name="BURNER_MOD" localSheetId="0">#REF!</definedName>
    <definedName name="BURNER_MOD" localSheetId="1">#REF!</definedName>
    <definedName name="BURNER_MOD">#REF!</definedName>
    <definedName name="BURNER_TYPE" localSheetId="0">#REF!</definedName>
    <definedName name="BURNER_TYPE" localSheetId="1">#REF!</definedName>
    <definedName name="BURNER_TYPE">#REF!</definedName>
    <definedName name="BURNT2" localSheetId="0">#REF!</definedName>
    <definedName name="BURNT2" localSheetId="1">#REF!</definedName>
    <definedName name="BURNT2">#REF!</definedName>
    <definedName name="Cap" localSheetId="0">'[5]Loading Rack'!$D$22</definedName>
    <definedName name="Cap">'[6]Loading Rack'!$D$22</definedName>
    <definedName name="CARBTOCHeader">[7]SpecProf!$B$4:$I$4</definedName>
    <definedName name="CARBTOCProfile">[7]SpecProf!$B$4:$I$64</definedName>
    <definedName name="cargo_tank" localSheetId="0">#REF!</definedName>
    <definedName name="cargo_tank" localSheetId="1">#REF!</definedName>
    <definedName name="cargo_tank">#REF!</definedName>
    <definedName name="cc_eff">[1]Variables!$B$14</definedName>
    <definedName name="CLASS" localSheetId="0">#REF!</definedName>
    <definedName name="CLASS" localSheetId="1">#REF!</definedName>
    <definedName name="CLASS">#REF!</definedName>
    <definedName name="COEF" localSheetId="0">#REF!</definedName>
    <definedName name="COEF" localSheetId="1">#REF!</definedName>
    <definedName name="COEF">#REF!</definedName>
    <definedName name="COEFI">[8]C!$E$20</definedName>
    <definedName name="Company">'[4]Input Data'!$B$3</definedName>
    <definedName name="ConF1">[9]Variables!$D$40</definedName>
    <definedName name="ConF2">[9]Variables!$D$41</definedName>
    <definedName name="COYEAR">[10]ICE!$J$65</definedName>
    <definedName name="CPP_P">[1]Variables!$B$12</definedName>
    <definedName name="CPP_R">#REF!</definedName>
    <definedName name="CPP_R2">#REF!</definedName>
    <definedName name="d2_den">'[11]Do not print - Variables'!$C$20</definedName>
    <definedName name="D2_Density">#REF!</definedName>
    <definedName name="D2_PM_Ratio">#REF!</definedName>
    <definedName name="D2_ROC_Ratio">#REF!</definedName>
    <definedName name="Daily_Concrete_Production">'[3]Facility Info and EF''s'!$C$13</definedName>
    <definedName name="DAILY_OP" localSheetId="0">#REF!</definedName>
    <definedName name="DAILY_OP" localSheetId="1">#REF!</definedName>
    <definedName name="DAILY_OP">#REF!</definedName>
    <definedName name="DAILYOP2" localSheetId="0">#REF!</definedName>
    <definedName name="DAILYOP2" localSheetId="1">#REF!</definedName>
    <definedName name="DAILYOP2">#REF!</definedName>
    <definedName name="den_d2" localSheetId="0">#REF!</definedName>
    <definedName name="den_d2" localSheetId="1">#REF!</definedName>
    <definedName name="den_d2">#REF!</definedName>
    <definedName name="density" localSheetId="0">#REF!</definedName>
    <definedName name="density" localSheetId="1">#REF!</definedName>
    <definedName name="density">#REF!</definedName>
    <definedName name="diam" localSheetId="1">'Floating Roof Tank'!$G$42</definedName>
    <definedName name="diam">#REF!</definedName>
    <definedName name="Distance">'[12]Fuel Use Limits'!#REF!</definedName>
    <definedName name="DProd" localSheetId="0">'[5]Loading Rack'!$D$23</definedName>
    <definedName name="DProd">'[6]Loading Rack'!$D$23</definedName>
    <definedName name="EC_Crew_hp" localSheetId="1">#REF!</definedName>
    <definedName name="EC_Crew_hp">#REF!</definedName>
    <definedName name="EC_Sup_hp" localSheetId="1">#REF!</definedName>
    <definedName name="EC_Sup_hp">#REF!</definedName>
    <definedName name="EFACTOR1" localSheetId="0">#REF!</definedName>
    <definedName name="EFACTOR1" localSheetId="1">#REF!</definedName>
    <definedName name="EFACTOR1">#REF!</definedName>
    <definedName name="EFACTOR2" localSheetId="0">#REF!</definedName>
    <definedName name="EFACTOR2" localSheetId="1">#REF!</definedName>
    <definedName name="EFACTOR2">#REF!</definedName>
    <definedName name="EFACTOR3" localSheetId="0">#REF!</definedName>
    <definedName name="EFACTOR3" localSheetId="1">#REF!</definedName>
    <definedName name="EFACTOR3">#REF!</definedName>
    <definedName name="EFACTOR4" localSheetId="0">#REF!</definedName>
    <definedName name="EFACTOR4" localSheetId="1">#REF!</definedName>
    <definedName name="EFACTOR4">#REF!</definedName>
    <definedName name="EFACTOR5" localSheetId="0">#REF!</definedName>
    <definedName name="EFACTOR5" localSheetId="1">#REF!</definedName>
    <definedName name="EFACTOR5">#REF!</definedName>
    <definedName name="eff" localSheetId="0">'[5]Loading Rack'!$D$25</definedName>
    <definedName name="eff">'[6]Loading Rack'!$D$25</definedName>
    <definedName name="EFUN2" localSheetId="0">#REF!</definedName>
    <definedName name="EFUN2" localSheetId="1">#REF!</definedName>
    <definedName name="EFUN2">#REF!</definedName>
    <definedName name="EFUNITS" localSheetId="0">#REF!</definedName>
    <definedName name="EFUNITS" localSheetId="1">#REF!</definedName>
    <definedName name="EFUNITS">#REF!</definedName>
    <definedName name="ERRMSG" localSheetId="0">#REF!</definedName>
    <definedName name="ERRMSG" localSheetId="1">#REF!</definedName>
    <definedName name="ERRMSG">#REF!</definedName>
    <definedName name="ERROR" localSheetId="0">#REF!</definedName>
    <definedName name="ERROR" localSheetId="1">#REF!</definedName>
    <definedName name="ERROR">#REF!</definedName>
    <definedName name="EXIT" localSheetId="0">#REF!</definedName>
    <definedName name="EXIT" localSheetId="1">#REF!</definedName>
    <definedName name="EXIT">#REF!</definedName>
    <definedName name="FACILITY" localSheetId="0">#REF!</definedName>
    <definedName name="FACILITY" localSheetId="1">#REF!</definedName>
    <definedName name="FACILITY">#REF!</definedName>
    <definedName name="Facility_Name">'[3]Facility Info and EF''s'!$A$3</definedName>
    <definedName name="FCF">#REF!</definedName>
    <definedName name="FCF_D2">#REF!</definedName>
    <definedName name="FD_D2">#REF!</definedName>
    <definedName name="FeeRate">#REF!</definedName>
    <definedName name="FHCday">'[13]FHC CALC KVB'!$D$59</definedName>
    <definedName name="FHCyear">'[13]FHC CALC KVB'!$E$59</definedName>
    <definedName name="FILE" localSheetId="0">#REF!</definedName>
    <definedName name="FILE" localSheetId="1">#REF!</definedName>
    <definedName name="FILE">#REF!</definedName>
    <definedName name="FIRETY2" localSheetId="0">#REF!</definedName>
    <definedName name="FIRETY2" localSheetId="1">#REF!</definedName>
    <definedName name="FIRETY2">#REF!</definedName>
    <definedName name="FIRETYPE" localSheetId="0">#REF!</definedName>
    <definedName name="FIRETYPE" localSheetId="1">#REF!</definedName>
    <definedName name="FIRETYPE">#REF!</definedName>
    <definedName name="FNEI_PM_Daily">#REF!</definedName>
    <definedName name="FNEI_PM_Yearly">#REF!</definedName>
    <definedName name="FNEI_PM10_Daily">#REF!</definedName>
    <definedName name="FNEI_PM10_Yearly">#REF!</definedName>
    <definedName name="FOCF" localSheetId="0">#REF!</definedName>
    <definedName name="FOCF" localSheetId="1">#REF!</definedName>
    <definedName name="FOCF">#REF!</definedName>
    <definedName name="FUEL" localSheetId="0">#REF!</definedName>
    <definedName name="FUEL" localSheetId="1">#REF!</definedName>
    <definedName name="FUEL">#REF!</definedName>
    <definedName name="FUELHR" localSheetId="0">#REF!</definedName>
    <definedName name="FUELHR" localSheetId="1">#REF!</definedName>
    <definedName name="FUELHR">#REF!</definedName>
    <definedName name="FUELSP1" localSheetId="0">#REF!</definedName>
    <definedName name="FUELSP1" localSheetId="1">#REF!</definedName>
    <definedName name="FUELSP1">#REF!</definedName>
    <definedName name="FUELSP2" localSheetId="0">#REF!</definedName>
    <definedName name="FUELSP2" localSheetId="1">#REF!</definedName>
    <definedName name="FUELSP2">#REF!</definedName>
    <definedName name="FUELSP3" localSheetId="0">#REF!</definedName>
    <definedName name="FUELSP3" localSheetId="1">#REF!</definedName>
    <definedName name="FUELSP3">#REF!</definedName>
    <definedName name="FUELSP4" localSheetId="0">#REF!</definedName>
    <definedName name="FUELSP4" localSheetId="1">#REF!</definedName>
    <definedName name="FUELSP4">#REF!</definedName>
    <definedName name="FUELSP5" localSheetId="0">#REF!</definedName>
    <definedName name="FUELSP5" localSheetId="1">#REF!</definedName>
    <definedName name="FUELSP5">#REF!</definedName>
    <definedName name="FUELT2" localSheetId="0">#REF!</definedName>
    <definedName name="FUELT2" localSheetId="1">#REF!</definedName>
    <definedName name="FUELT2">#REF!</definedName>
    <definedName name="FUELYR" localSheetId="0">#REF!</definedName>
    <definedName name="FUELYR" localSheetId="1">#REF!</definedName>
    <definedName name="FUELYR">#REF!</definedName>
    <definedName name="GC">#REF!</definedName>
    <definedName name="GPP">[14]Fugitives!$F$13</definedName>
    <definedName name="H2S">[15]Variables!$B$10</definedName>
    <definedName name="H2S2">[15]Variables!$B$11</definedName>
    <definedName name="HHV" localSheetId="0">#REF!</definedName>
    <definedName name="HHV" localSheetId="1">#REF!</definedName>
    <definedName name="HHV">#REF!</definedName>
    <definedName name="HHV_D2">[1]Variables!$B$11</definedName>
    <definedName name="HHVD2">'[11]Do not print - Variables'!$C$12</definedName>
    <definedName name="HHVPro">[16]Variables!$C$6</definedName>
    <definedName name="HHVU1" localSheetId="0">#REF!</definedName>
    <definedName name="HHVU1" localSheetId="1">#REF!</definedName>
    <definedName name="HHVU1">#REF!</definedName>
    <definedName name="HHVUNIT" localSheetId="0">#REF!</definedName>
    <definedName name="HHVUNIT" localSheetId="1">#REF!</definedName>
    <definedName name="HHVUNIT">#REF!</definedName>
    <definedName name="HLPD" localSheetId="0">'[5]Loading Rack'!$G$29</definedName>
    <definedName name="HLPD">'[6]Loading Rack'!$G$29</definedName>
    <definedName name="HLPY" localSheetId="0">'[5]Loading Rack'!$G$30</definedName>
    <definedName name="HLPY">'[6]Loading Rack'!$G$30</definedName>
    <definedName name="Instrument_Counts">#REF!</definedName>
    <definedName name="LbPerKg">2.20462262184878</definedName>
    <definedName name="LbPerTon">2000</definedName>
    <definedName name="Lease">'[4]Input Data'!$B$5</definedName>
    <definedName name="LiquidStreamHeader">'[7]Old Stream Data'!$K$39:$V$39</definedName>
    <definedName name="LiquidStreamHeaderC">'[7]Old Stream Data'!$K$3:$V$3</definedName>
    <definedName name="LiquidStreamPollutant">'[7]Old Stream Data'!$K$39:$K$69</definedName>
    <definedName name="LiquidStreamPollutantC">'[7]Old Stream Data'!$K$3:$K$33</definedName>
    <definedName name="LiquidStreamTable">'[7]Old Stream Data'!$K$39:$V$69</definedName>
    <definedName name="LiquidStreamTableC">'[7]Old Stream Data'!$K$3:$V$33</definedName>
    <definedName name="LiquidType" localSheetId="1">'[17]Fixed Roof Tank 10009'!$M$6:$M$13</definedName>
    <definedName name="LiquidType">'Fixed Roof Tank'!$M$6:$M$13</definedName>
    <definedName name="LL" localSheetId="0">'[5]Loading Rack'!$G$31</definedName>
    <definedName name="LL">'[6]Loading Rack'!$G$31</definedName>
    <definedName name="LOAD_FACT" localSheetId="0">#REF!</definedName>
    <definedName name="LOAD_FACT" localSheetId="1">#REF!</definedName>
    <definedName name="LOAD_FACT">#REF!</definedName>
    <definedName name="LOOKUP" localSheetId="0">#REF!</definedName>
    <definedName name="LOOKUP" localSheetId="1">#REF!</definedName>
    <definedName name="LOOKUP">#REF!</definedName>
    <definedName name="MAC" localSheetId="0">#REF!</definedName>
    <definedName name="MAC" localSheetId="1">#REF!</definedName>
    <definedName name="MAC">#REF!</definedName>
    <definedName name="MAINMENU" localSheetId="0">#REF!</definedName>
    <definedName name="MAINMENU" localSheetId="1">#REF!</definedName>
    <definedName name="MAINMENU">#REF!</definedName>
    <definedName name="MAX_FIRE_RATE" localSheetId="0">#REF!</definedName>
    <definedName name="MAX_FIRE_RATE" localSheetId="1">#REF!</definedName>
    <definedName name="MAX_FIRE_RATE">#REF!</definedName>
    <definedName name="MaxFee">#REF!</definedName>
    <definedName name="MEN" localSheetId="0">#REF!</definedName>
    <definedName name="MEN" localSheetId="1">#REF!</definedName>
    <definedName name="MEN">#REF!</definedName>
    <definedName name="MENU" localSheetId="0">#REF!</definedName>
    <definedName name="MENU" localSheetId="1">#REF!</definedName>
    <definedName name="MENU">#REF!</definedName>
    <definedName name="MESSAGE_CELL" localSheetId="0">#REF!</definedName>
    <definedName name="MESSAGE_CELL" localSheetId="1">#REF!</definedName>
    <definedName name="MESSAGE_CELL">#REF!</definedName>
    <definedName name="Module2.printsheet">[18]!Module2.printsheet</definedName>
    <definedName name="MW" localSheetId="0">'[5]Loading Rack'!$D$18</definedName>
    <definedName name="MW">'[6]Loading Rack'!$D$18</definedName>
    <definedName name="MW_H2S" localSheetId="0">#REF!</definedName>
    <definedName name="MW_H2S" localSheetId="1">#REF!</definedName>
    <definedName name="MW_H2S">#REF!</definedName>
    <definedName name="MW_S" localSheetId="0">#REF!</definedName>
    <definedName name="MW_S" localSheetId="1">#REF!</definedName>
    <definedName name="MW_S">#REF!</definedName>
    <definedName name="N2EF" localSheetId="0">#REF!</definedName>
    <definedName name="N2EF" localSheetId="1">#REF!</definedName>
    <definedName name="N2EF">#REF!</definedName>
    <definedName name="nc" localSheetId="1">'Floating Roof Tank'!#REF!</definedName>
    <definedName name="nc">#REF!</definedName>
    <definedName name="NITWT" localSheetId="0">#REF!</definedName>
    <definedName name="NITWT" localSheetId="1">#REF!</definedName>
    <definedName name="NITWT">#REF!</definedName>
    <definedName name="NOXEF" localSheetId="0">#REF!</definedName>
    <definedName name="NOXEF" localSheetId="1">#REF!</definedName>
    <definedName name="NOXEF">#REF!</definedName>
    <definedName name="NOxEF_Util_Norm" localSheetId="0">#REF!</definedName>
    <definedName name="NOxEF_Util_Norm" localSheetId="1">#REF!</definedName>
    <definedName name="NOxEF_Util_Norm">#REF!</definedName>
    <definedName name="NOXYEAR">[10]ICE!$F$65</definedName>
    <definedName name="NXEF">[8]C!$C$11</definedName>
    <definedName name="NXEFI">[8]C!$C$20</definedName>
    <definedName name="OCS">[14]Fugitives!$K$13</definedName>
    <definedName name="Old_Crew_hp">#REF!</definedName>
    <definedName name="Old_Sup_hp">#REF!</definedName>
    <definedName name="OPHOURS" localSheetId="0">#REF!</definedName>
    <definedName name="OPHOURS" localSheetId="1">#REF!</definedName>
    <definedName name="OPHOURS">#REF!</definedName>
    <definedName name="OPHRS" localSheetId="0">#REF!</definedName>
    <definedName name="OPHRS" localSheetId="1">#REF!</definedName>
    <definedName name="OPHRS">#REF!</definedName>
    <definedName name="OWNER" localSheetId="0">#REF!</definedName>
    <definedName name="OWNER" localSheetId="1">#REF!</definedName>
    <definedName name="OWNER">#REF!</definedName>
    <definedName name="OWNER2" localSheetId="0">#REF!</definedName>
    <definedName name="OWNER2" localSheetId="1">#REF!</definedName>
    <definedName name="OWNER2">#REF!</definedName>
    <definedName name="PaintColor" localSheetId="1">'[17]Fixed Roof Tank 10009'!$M$18:$M$23</definedName>
    <definedName name="PaintColor">'Fixed Roof Tank'!$M$18:$M$23</definedName>
    <definedName name="PenaltyFeeRate">#REF!</definedName>
    <definedName name="PERM2" localSheetId="0">#REF!</definedName>
    <definedName name="PERM2" localSheetId="1">#REF!</definedName>
    <definedName name="PERM2">#REF!</definedName>
    <definedName name="PERMIT_NO" localSheetId="0">#REF!</definedName>
    <definedName name="PERMIT_NO" localSheetId="1">#REF!</definedName>
    <definedName name="PERMIT_NO">#REF!</definedName>
    <definedName name="Permit_Number">'[3]Facility Info and EF''s'!$A$2</definedName>
    <definedName name="Plant_Operation">'[3]Facility Info and EF''s'!#REF!</definedName>
    <definedName name="PM_Daily">[3]Emissions!$B$21</definedName>
    <definedName name="PM_Storage_Pile_EF">'[3]Facility Info and EF''s'!$C$56</definedName>
    <definedName name="PM_Truck_Mix_EF">'[3]Facility Info and EF''s'!#REF!</definedName>
    <definedName name="PM_Yearly">[3]Emissions!$C$21</definedName>
    <definedName name="PM10_daily">[3]Emissions!$D$21</definedName>
    <definedName name="PM10_Storage_Pile_EF">'[3]Facility Info and EF''s'!$D$56</definedName>
    <definedName name="PM10_Truck_Mix_EF">'[3]Facility Info and EF''s'!#REF!</definedName>
    <definedName name="PM10_Yearly">[3]Emissions!$E$21</definedName>
    <definedName name="PM10EF" localSheetId="0">#REF!</definedName>
    <definedName name="PM10EF" localSheetId="1">#REF!</definedName>
    <definedName name="PM10EF">#REF!</definedName>
    <definedName name="PMEFI">[8]C!$G$20</definedName>
    <definedName name="PMYEAR">[10]ICE!$N$65</definedName>
    <definedName name="ppmv_Lean">#REF!</definedName>
    <definedName name="ppmv_Rich">#REF!</definedName>
    <definedName name="ppmvD2">#REF!</definedName>
    <definedName name="print01">[19]!print01</definedName>
    <definedName name="PRINT1" localSheetId="0">#REF!</definedName>
    <definedName name="PRINT1" localSheetId="1">#REF!</definedName>
    <definedName name="PRINT1">#REF!</definedName>
    <definedName name="print2" localSheetId="0">#REF!</definedName>
    <definedName name="print2" localSheetId="1">#REF!</definedName>
    <definedName name="print2">#REF!</definedName>
    <definedName name="ProFie">[14]Fugitives!$C$13</definedName>
    <definedName name="PVday">[13]CMPFUG!$I$27</definedName>
    <definedName name="PVyear">[13]CMPFUG!$J$27</definedName>
    <definedName name="Radius1">[20]Values!$B$3</definedName>
    <definedName name="Radius2">[20]Values!$B$5</definedName>
    <definedName name="Rate" localSheetId="0">'[5]Loading Rack'!$D$21</definedName>
    <definedName name="Rate">'[6]Loading Rack'!$D$21</definedName>
    <definedName name="RC_" localSheetId="0">#REF!</definedName>
    <definedName name="RC_" localSheetId="1">#REF!</definedName>
    <definedName name="RC_">#REF!</definedName>
    <definedName name="React">'[6]Loading Rack'!$D$26</definedName>
    <definedName name="RECALC" localSheetId="0">#REF!</definedName>
    <definedName name="RECALC" localSheetId="1">#REF!</definedName>
    <definedName name="RECALC">#REF!</definedName>
    <definedName name="Refin">[14]Fugitives!$H$13</definedName>
    <definedName name="RESULTS" localSheetId="0">#REF!</definedName>
    <definedName name="RESULTS" localSheetId="1">#REF!</definedName>
    <definedName name="RESULTS">#REF!</definedName>
    <definedName name="ROCEF" localSheetId="0">#REF!</definedName>
    <definedName name="ROCEF" localSheetId="1">#REF!</definedName>
    <definedName name="ROCEF">#REF!</definedName>
    <definedName name="ROCEFI">[8]C!$D$20</definedName>
    <definedName name="ROCYEAR">[10]ICE!$H$65</definedName>
    <definedName name="RSTART" localSheetId="0">#REF!</definedName>
    <definedName name="RSTART" localSheetId="1">#REF!</definedName>
    <definedName name="RSTART">#REF!</definedName>
    <definedName name="Rule342" localSheetId="0">#REF!</definedName>
    <definedName name="Rule342" localSheetId="1">#REF!</definedName>
    <definedName name="Rule342">#REF!</definedName>
    <definedName name="RUN" localSheetId="0">#REF!</definedName>
    <definedName name="RUN" localSheetId="1">#REF!</definedName>
    <definedName name="RUN">#REF!</definedName>
    <definedName name="s1m">[21]EmFactor!$H$13</definedName>
    <definedName name="s1n">[21]EmFactor!$I$13</definedName>
    <definedName name="s2m">[21]EmFactor!$H$14</definedName>
    <definedName name="s2n">[21]EmFactor!$I$14</definedName>
    <definedName name="s3m">[21]EmFactor!$H$15</definedName>
    <definedName name="s3n">[21]EmFactor!$I$15</definedName>
    <definedName name="s4m">[21]EmFactor!$H$18</definedName>
    <definedName name="s4mf">[21]EmFactor!$Q$33</definedName>
    <definedName name="s4n">[21]EmFactor!$I$18</definedName>
    <definedName name="s5m">[21]EmFactor!$H$19</definedName>
    <definedName name="s5mf">[21]EmFactor!$Q$34</definedName>
    <definedName name="s5n">[21]EmFactor!$I$19</definedName>
    <definedName name="s6m">[21]EmFactor!$H$20</definedName>
    <definedName name="s6mf">[21]EmFactor!$Q$35</definedName>
    <definedName name="s6n">[21]EmFactor!$I$20</definedName>
    <definedName name="s7m">[21]EmFactor!$H$21</definedName>
    <definedName name="s7mf">[21]EmFactor!$Q$36</definedName>
    <definedName name="s7n">[21]EmFactor!$I$21</definedName>
    <definedName name="SAVE" localSheetId="0">#REF!</definedName>
    <definedName name="SAVE" localSheetId="1">#REF!</definedName>
    <definedName name="SAVE">#REF!</definedName>
    <definedName name="SCREEN" localSheetId="0">#REF!</definedName>
    <definedName name="SCREEN" localSheetId="1">#REF!</definedName>
    <definedName name="SCREEN">#REF!</definedName>
    <definedName name="SF" localSheetId="0">'[5]Loading Rack'!$D$17</definedName>
    <definedName name="SF">'[6]Loading Rack'!$D$17</definedName>
    <definedName name="SO2EF" localSheetId="0">#REF!</definedName>
    <definedName name="SO2EF" localSheetId="1">#REF!</definedName>
    <definedName name="SO2EF">#REF!</definedName>
    <definedName name="SO3EF" localSheetId="0">#REF!</definedName>
    <definedName name="SO3EF" localSheetId="1">#REF!</definedName>
    <definedName name="SO3EF">#REF!</definedName>
    <definedName name="SOXEF">[8]C!$F$12</definedName>
    <definedName name="SOXEFI">[8]C!$F$21</definedName>
    <definedName name="SOXYEAR">[10]ICE!$L$65</definedName>
    <definedName name="ST_VRU_EFF" localSheetId="0">'Fixed Roof Tank'!$F$51</definedName>
    <definedName name="ST_VRU_EFF" localSheetId="1">#REF!</definedName>
    <definedName name="ST_VRU_EFF">#REF!</definedName>
    <definedName name="Storage_Pile_Area">'[3]Facility Info and EF''s'!$C$10</definedName>
    <definedName name="SUB" localSheetId="0">#REF!</definedName>
    <definedName name="SUB" localSheetId="1">#REF!</definedName>
    <definedName name="SUB">#REF!</definedName>
    <definedName name="Submerged_loading_of_a_clean_cargo_tank" localSheetId="0">#REF!</definedName>
    <definedName name="Submerged_loading_of_a_clean_cargo_tank" localSheetId="1">#REF!</definedName>
    <definedName name="Submerged_loading_of_a_clean_cargo_tank">#REF!</definedName>
    <definedName name="SULFCON" localSheetId="0">#REF!</definedName>
    <definedName name="SULFCON" localSheetId="1">#REF!</definedName>
    <definedName name="SULFCON">#REF!</definedName>
    <definedName name="SULFUNIT" localSheetId="0">#REF!</definedName>
    <definedName name="SULFUNIT" localSheetId="1">#REF!</definedName>
    <definedName name="SULFUNIT">#REF!</definedName>
    <definedName name="SULFUR" localSheetId="0">#REF!</definedName>
    <definedName name="SULFUR" localSheetId="1">#REF!</definedName>
    <definedName name="SULFUR">#REF!</definedName>
    <definedName name="SULFUR2" localSheetId="0">#REF!</definedName>
    <definedName name="SULFUR2" localSheetId="1">#REF!</definedName>
    <definedName name="SULFUR2">#REF!</definedName>
    <definedName name="SUNITS" localSheetId="0">#REF!</definedName>
    <definedName name="SUNITS" localSheetId="1">#REF!</definedName>
    <definedName name="SUNITS">#REF!</definedName>
    <definedName name="T1day" localSheetId="0">#REF!</definedName>
    <definedName name="T1day" localSheetId="1">#REF!</definedName>
    <definedName name="T1day">#REF!</definedName>
    <definedName name="T1year" localSheetId="0">#REF!</definedName>
    <definedName name="T1year" localSheetId="1">#REF!</definedName>
    <definedName name="T1year">#REF!</definedName>
    <definedName name="T2day">'[13]1000 bbl tank'!$G$64</definedName>
    <definedName name="T2year">'[13]1000 bbl tank'!$H$64</definedName>
    <definedName name="T3day">'[13]302 bbl tank'!$G$64</definedName>
    <definedName name="T3year">'[13]302 bbl tank'!$H$64</definedName>
    <definedName name="T4day">'[13]Test Tank'!$G$64</definedName>
    <definedName name="T4year">'[13]Test Tank'!$H$64</definedName>
    <definedName name="TABLE" localSheetId="0">#REF!</definedName>
    <definedName name="TABLE" localSheetId="1">#REF!</definedName>
    <definedName name="TABLE">#REF!</definedName>
    <definedName name="TDN_eff">#REF!</definedName>
    <definedName name="TEMP" localSheetId="0">#REF!</definedName>
    <definedName name="TEMP" localSheetId="1">#REF!</definedName>
    <definedName name="TEMP">#REF!</definedName>
    <definedName name="TempF" localSheetId="0">'[5]Loading Rack'!$F$20</definedName>
    <definedName name="TempF">'[6]Loading Rack'!$F$20</definedName>
    <definedName name="TempR" localSheetId="0">'[5]Loading Rack'!$D$20</definedName>
    <definedName name="TempR">'[6]Loading Rack'!$D$20</definedName>
    <definedName name="THLD" localSheetId="0">'[5]Loading Rack'!$H$38</definedName>
    <definedName name="THLD">'[6]Loading Rack'!$H$38</definedName>
    <definedName name="THLH" localSheetId="0">'[5]Loading Rack'!$H$36</definedName>
    <definedName name="THLH">'[6]Loading Rack'!$H$36</definedName>
    <definedName name="TLHA" localSheetId="0">'[5]Loading Rack'!$H$40</definedName>
    <definedName name="TLHA">'[6]Loading Rack'!$H$40</definedName>
    <definedName name="TOP">#REF!</definedName>
    <definedName name="TSPEF" localSheetId="0">#REF!</definedName>
    <definedName name="TSPEF" localSheetId="1">#REF!</definedName>
    <definedName name="TSPEF">#REF!</definedName>
    <definedName name="TVP" localSheetId="0">'[5]Loading Rack'!$D$19</definedName>
    <definedName name="TVP">'[6]Loading Rack'!$D$19</definedName>
    <definedName name="Uncont_D2">#REF!</definedName>
    <definedName name="Uncontrolled_NOx">#REF!</definedName>
    <definedName name="UtilityNOx" localSheetId="0">#REF!</definedName>
    <definedName name="UtilityNOx" localSheetId="1">#REF!</definedName>
    <definedName name="UtilityNOx">#REF!</definedName>
    <definedName name="VIEW" localSheetId="0">#REF!</definedName>
    <definedName name="VIEW" localSheetId="1">#REF!</definedName>
    <definedName name="VIEW">#REF!</definedName>
    <definedName name="VRS_EFF">'[4]Input Data'!$B$9</definedName>
    <definedName name="VRU_EFF" localSheetId="0">'Fixed Roof Tank'!$F$50</definedName>
    <definedName name="VRU_EFF" localSheetId="1">#REF!</definedName>
    <definedName name="VRU_EFF">#REF!</definedName>
    <definedName name="wrn.Form._.R._.Binder." hidden="1">{#N/A,#N/A,FALSE,"Checked";#N/A,#N/A,FALSE,"Totals";#N/A,#N/A,FALSE,"Boilers";#N/A,#N/A,FALSE,"CRU";#N/A,#N/A,FALSE,"Towers";#N/A,#N/A,FALSE,"DICE";#N/A,#N/A,FALSE,"Fxroof";#N/A,#N/A,FALSE,"Flares";#N/A,#N/A,FALSE,"Flroof";#N/A,#N/A,FALSE,"Fugitives";#N/A,#N/A,FALSE,"Loading Racks";#N/A,#N/A,FALSE,"NGICE";#N/A,#N/A,FALSE,"SRU";#N/A,#N/A,FALSE,"VES";#N/A,#N/A,FALSE,"Headspace";#N/A,#N/A,FALSE,"GasWtFract";#N/A,#N/A,FALSE,"Wt_fract";#N/A,#N/A,FALSE,"Emission_Factors";#N/A,#N/A,FALSE,"Detected Factors"}</definedName>
    <definedName name="wrn.Inventory." hidden="1">{#N/A,#N/A,FALSE,"Summary";#N/A,#N/A,FALSE,"Painting Summary";#N/A,#N/A,FALSE,"Painting Tank 921";#N/A,#N/A,FALSE,"Painting Tank 561";#N/A,#N/A,FALSE,"Painting Tank 560";#N/A,#N/A,FALSE,"Refrigerants";#N/A,#N/A,FALSE,"Diesel ICE";#N/A,#N/A,FALSE,"Diesel EF";#N/A,#N/A,FALSE,"Natural Gas Combustion";#N/A,#N/A,FALSE,"Nat.Gas-Ext. EF";#N/A,#N/A,FALSE,"Oil-Water Separator";#N/A,#N/A,FALSE,"Fuel Dispensing";#N/A,#N/A,FALSE,"Loading";#N/A,#N/A,FALSE,"Tanks";#N/A,#N/A,FALSE,"Chemicals Throughput";#N/A,#N/A,FALSE,"Fuels Throughput";#N/A,#N/A,FALSE,"Tank Controls";#N/A,#N/A,FALSE,"Degassing";#N/A,#N/A,FALSE,"Fugitives";#N/A,#N/A,FALSE,"Fugitives Fuels and Chemical";#N/A,#N/A,FALSE,"Fugitives Laboratory";#N/A,#N/A,FALSE,"Fugitive Components";#N/A,#N/A,FALSE,"Heavy Components";#N/A,#N/A,FALSE,"Transmix and MAK.GLY";#N/A,#N/A,FALSE,"Oxy_Hydro_CW Speciation";#N/A,#N/A,FALSE,"Speciation";#N/A,#N/A,FALSE,"Headspace"}</definedName>
    <definedName name="x">[22]!Module2.printsheet</definedName>
    <definedName name="xx" localSheetId="0">#REF!</definedName>
    <definedName name="xx" localSheetId="1">#REF!</definedName>
    <definedName name="xx">#REF!</definedName>
    <definedName name="xxxx">[18]!Module2.printsheet</definedName>
    <definedName name="YEARLY_OP" localSheetId="0">#REF!</definedName>
    <definedName name="YEARLY_OP" localSheetId="1">#REF!</definedName>
    <definedName name="YEARLY_OP">#REF!</definedName>
    <definedName name="YEAROP2" localSheetId="0">#REF!</definedName>
    <definedName name="YEAROP2" localSheetId="1">#REF!</definedName>
    <definedName name="YEAROP2">#REF!</definedName>
  </definedNames>
  <calcPr calcId="162913"/>
</workbook>
</file>

<file path=xl/calcChain.xml><?xml version="1.0" encoding="utf-8"?>
<calcChain xmlns="http://schemas.openxmlformats.org/spreadsheetml/2006/main">
  <c r="L7" i="5" l="1"/>
  <c r="L8" i="5"/>
  <c r="L9" i="5"/>
  <c r="L10" i="5"/>
  <c r="L11" i="5"/>
  <c r="L13" i="5"/>
  <c r="L14" i="5"/>
  <c r="L20" i="5"/>
  <c r="L21" i="5"/>
  <c r="L22" i="5"/>
  <c r="L23" i="5"/>
  <c r="L33" i="5" s="1"/>
  <c r="L24" i="5"/>
  <c r="L25" i="5"/>
  <c r="Q25" i="5"/>
  <c r="L12" i="5" s="1"/>
  <c r="L31" i="5"/>
  <c r="L32" i="5"/>
  <c r="L35" i="5"/>
  <c r="L36" i="5"/>
  <c r="L42" i="5"/>
  <c r="L44" i="5"/>
  <c r="L45" i="5"/>
  <c r="L26" i="5" l="1"/>
  <c r="D73" i="5" s="1"/>
  <c r="L15" i="5"/>
  <c r="L34" i="5"/>
  <c r="L37" i="5" s="1"/>
  <c r="L43" i="5"/>
  <c r="L46" i="5" s="1"/>
  <c r="R18" i="4"/>
  <c r="R17" i="4"/>
  <c r="E73" i="5" l="1"/>
  <c r="D75" i="5"/>
  <c r="E75" i="5"/>
  <c r="E74" i="5"/>
  <c r="D74" i="5"/>
  <c r="D72" i="5"/>
  <c r="E72" i="5"/>
  <c r="F28" i="4"/>
  <c r="D76" i="5" l="1"/>
  <c r="E76" i="5"/>
  <c r="F42" i="4"/>
  <c r="P51" i="4" l="1"/>
  <c r="P44" i="4" l="1"/>
  <c r="P49" i="4" l="1"/>
  <c r="N9" i="4"/>
  <c r="F43" i="4" s="1"/>
  <c r="P40" i="4"/>
  <c r="P32" i="4"/>
  <c r="P42" i="4" s="1"/>
  <c r="P28" i="4"/>
  <c r="F32" i="4"/>
  <c r="P30" i="4" l="1"/>
  <c r="P31" i="4" s="1"/>
  <c r="P29" i="4"/>
  <c r="P34" i="4"/>
  <c r="R12" i="4" l="1"/>
  <c r="R10" i="4"/>
  <c r="R8" i="4"/>
  <c r="P36" i="4"/>
  <c r="P37" i="4" s="1"/>
  <c r="P35" i="4"/>
  <c r="P38" i="4"/>
  <c r="P39" i="4" s="1"/>
  <c r="R13" i="4"/>
  <c r="R11" i="4"/>
  <c r="R6" i="4"/>
  <c r="R7" i="4"/>
  <c r="R9" i="4"/>
  <c r="P45" i="4" s="1"/>
  <c r="D59" i="4" s="1"/>
  <c r="P43" i="4" l="1"/>
  <c r="P47" i="4" s="1"/>
  <c r="P46" i="4"/>
  <c r="P48" i="4"/>
  <c r="E59" i="4"/>
  <c r="G59" i="4" s="1"/>
  <c r="D60" i="4" l="1"/>
  <c r="D58" i="4"/>
  <c r="F59" i="4"/>
  <c r="E60" i="4"/>
  <c r="G60" i="4" s="1"/>
  <c r="E58" i="4"/>
  <c r="F58" i="4" l="1"/>
  <c r="F60" i="4"/>
  <c r="G58" i="4"/>
  <c r="G61" i="4" s="1"/>
  <c r="E61" i="4"/>
  <c r="D61" i="4"/>
  <c r="F61" i="4" l="1"/>
</calcChain>
</file>

<file path=xl/sharedStrings.xml><?xml version="1.0" encoding="utf-8"?>
<sst xmlns="http://schemas.openxmlformats.org/spreadsheetml/2006/main" count="450" uniqueCount="240">
  <si>
    <t>Basic Input Data</t>
  </si>
  <si>
    <t>Tank Data</t>
  </si>
  <si>
    <t>c</t>
  </si>
  <si>
    <t>Paint Factor Matrix</t>
  </si>
  <si>
    <t>Molecular Weight Matrix</t>
  </si>
  <si>
    <t>Liquid Data</t>
  </si>
  <si>
    <t>Adjusted TVP Matrix</t>
  </si>
  <si>
    <t>RVP Matrix</t>
  </si>
  <si>
    <t>RVP value</t>
  </si>
  <si>
    <t>lb/day</t>
  </si>
  <si>
    <t>Permit Number:</t>
  </si>
  <si>
    <t>Facility:</t>
  </si>
  <si>
    <t>Vapor Recovery System Data</t>
  </si>
  <si>
    <t>Information</t>
  </si>
  <si>
    <t>Value</t>
  </si>
  <si>
    <t>Reference</t>
  </si>
  <si>
    <t>Reference Number</t>
  </si>
  <si>
    <t>Permit Application</t>
  </si>
  <si>
    <t>Yes</t>
  </si>
  <si>
    <t>No</t>
  </si>
  <si>
    <t>Permit Application (default of 0.06 psi)</t>
  </si>
  <si>
    <t>Liquid TVP………………………………………………………..</t>
  </si>
  <si>
    <t xml:space="preserve">          If TVP is entered, enter TVP temperature (°F)………..</t>
  </si>
  <si>
    <t xml:space="preserve">          If tank is heated, enter temperature (°F)………………..</t>
  </si>
  <si>
    <t>Is this a wash tank (Yes or No)?................................................</t>
  </si>
  <si>
    <t>Will flashing losses occur (Yes or No)?...................................</t>
  </si>
  <si>
    <t>Breather vent pressure setting range (psi)……………………..</t>
  </si>
  <si>
    <t>Calculated Value</t>
  </si>
  <si>
    <t>Permit Application (0 psi when no flashing loses occur)</t>
  </si>
  <si>
    <t>Shell Height (feet)………………………………………………</t>
  </si>
  <si>
    <t>Permit Application (default of 1 foot)</t>
  </si>
  <si>
    <t>Roof Height………………………………………………………</t>
  </si>
  <si>
    <t>Condition (Enter 1 if Good, or 2 if Poor)……………………….</t>
  </si>
  <si>
    <t>Upstream pressure (psi)………………………………………..</t>
  </si>
  <si>
    <t>RVP (psi)………………………………………………………….</t>
  </si>
  <si>
    <t>API Gravity (°)………………………………………………………</t>
  </si>
  <si>
    <t>Maximum Daily Throughput (barrels per day)………………………</t>
  </si>
  <si>
    <t>Maximum Annual Throughput (gallons)………………………</t>
  </si>
  <si>
    <t>SBCAPCD</t>
  </si>
  <si>
    <t>Calculated Values</t>
  </si>
  <si>
    <t>Information (references available in Administrative file)</t>
  </si>
  <si>
    <t>Default Value</t>
  </si>
  <si>
    <t>Based on Previous Inputs</t>
  </si>
  <si>
    <t>Vapor Recovery System Long Term Efficiency………………..</t>
  </si>
  <si>
    <t>Vapor Recovery System Short Term Efficiency………………….</t>
  </si>
  <si>
    <t>Surface Temperatures</t>
  </si>
  <si>
    <t xml:space="preserve">          Maximum (°F)……………………………………………….</t>
  </si>
  <si>
    <t>Diurnal Vapor Ranges</t>
  </si>
  <si>
    <t xml:space="preserve">          Temperature (°F)……………………………………………..</t>
  </si>
  <si>
    <t>Molecular Weight (lb/lb-mol)………………………………………</t>
  </si>
  <si>
    <t>Diameter (feet)……………….…………………………………….</t>
  </si>
  <si>
    <t>Capacity (barrels)………………….………………………………..</t>
  </si>
  <si>
    <t>Capacity (gallons)……….…………………………………………</t>
  </si>
  <si>
    <t>Roof Type (Enter C if Conical, or D if Dome Roof)……..……….</t>
  </si>
  <si>
    <t>Average Liquid Height (feet)………………….…………………</t>
  </si>
  <si>
    <t>Is tanked to a VRS (Yes or No)?...................................................</t>
  </si>
  <si>
    <t>Is the tank heated (Yes or No)?.....................................................</t>
  </si>
  <si>
    <t>Vapor Density (lb/scf)……………………………………………….</t>
  </si>
  <si>
    <t>Vapor Expansion Factor……………………………………………</t>
  </si>
  <si>
    <t>Fraction ROG - Flashing Losses…………………………………</t>
  </si>
  <si>
    <t>Fraction ROG - Evaporative Losses………………………………..</t>
  </si>
  <si>
    <t>Tank ROC Potential to Emit</t>
  </si>
  <si>
    <t>Controlled Potential to Emit</t>
  </si>
  <si>
    <t>Breathing Losses</t>
  </si>
  <si>
    <t>Working Losses</t>
  </si>
  <si>
    <t>Flashing Losses</t>
  </si>
  <si>
    <t>TPY</t>
  </si>
  <si>
    <t>Liquid</t>
  </si>
  <si>
    <t>Gas RVP 13</t>
  </si>
  <si>
    <t>Gas RVP 10</t>
  </si>
  <si>
    <t>Gas RVP 7</t>
  </si>
  <si>
    <t>Crude Oil</t>
  </si>
  <si>
    <t>JP -4</t>
  </si>
  <si>
    <t>Jet Kerosene</t>
  </si>
  <si>
    <t xml:space="preserve"> Fuel Oil 2</t>
  </si>
  <si>
    <t xml:space="preserve"> Fuel Oil 6</t>
  </si>
  <si>
    <t>Paint Color</t>
  </si>
  <si>
    <t>Paint Condition</t>
  </si>
  <si>
    <t>Good</t>
  </si>
  <si>
    <t>Poor</t>
  </si>
  <si>
    <t>TVP Value</t>
  </si>
  <si>
    <t>Molecular Weight</t>
  </si>
  <si>
    <t>Date:</t>
  </si>
  <si>
    <t>Average Liquid Surface Temperature Adjusted TVP (psia)……..</t>
  </si>
  <si>
    <t xml:space="preserve">          Minimum (°R)……………………………..……………….……</t>
  </si>
  <si>
    <t xml:space="preserve">          Maximum (°R)……………………...…………………………..</t>
  </si>
  <si>
    <t xml:space="preserve">          Average (°F)……………...…………………………………….</t>
  </si>
  <si>
    <t>Paint Factor……………..…………………………………………….</t>
  </si>
  <si>
    <t>Turnovers………………...……………………………………………</t>
  </si>
  <si>
    <t>Roof Outage (feet)……………..……………………………………</t>
  </si>
  <si>
    <t>Vapor Space Volume (scf)………...……………………………….</t>
  </si>
  <si>
    <t>Turnover Factor………...……………………………………………</t>
  </si>
  <si>
    <t xml:space="preserve">          Average (°R)……………...……………………………………</t>
  </si>
  <si>
    <t xml:space="preserve">          Minimum (°F)…………...……………………………………..</t>
  </si>
  <si>
    <t>Product Factor……..……………………………………………….....</t>
  </si>
  <si>
    <t xml:space="preserve">          Vapor Pressure (psia)………...……………………………..</t>
  </si>
  <si>
    <t>Vapor Saturation Factor………...…………………………………..</t>
  </si>
  <si>
    <t>Vented Vapor Volume (scf/bbl)…………...………………………..</t>
  </si>
  <si>
    <t>Reference Matrices and Calculated Values</t>
  </si>
  <si>
    <t>Total</t>
  </si>
  <si>
    <t xml:space="preserve">Processed By: </t>
  </si>
  <si>
    <t>Attachment:</t>
  </si>
  <si>
    <t>FIXED ROOF TANK EMISSION CALCULATIONS (Ver. 4.0)</t>
  </si>
  <si>
    <t>Liquid Type…………………………………………………………..</t>
  </si>
  <si>
    <t>Tank Paint Color…………………………..…………………………</t>
  </si>
  <si>
    <t>Spec Aluminum</t>
  </si>
  <si>
    <t>Diff Aluminum</t>
  </si>
  <si>
    <t>Light Gray</t>
  </si>
  <si>
    <t>Medium Gray</t>
  </si>
  <si>
    <t>Red</t>
  </si>
  <si>
    <t>White</t>
  </si>
  <si>
    <t>Reference Numbers</t>
  </si>
  <si>
    <t>Number</t>
  </si>
  <si>
    <t>Liquid RVP</t>
  </si>
  <si>
    <t>Paint Factor</t>
  </si>
  <si>
    <t>Input</t>
  </si>
  <si>
    <t>JP-4</t>
  </si>
  <si>
    <t>Fuel Oil 2</t>
  </si>
  <si>
    <t>Fuel Oil 6</t>
  </si>
  <si>
    <t>Uncontrolled Potential to Emit</t>
  </si>
  <si>
    <t>Deck Seam Loss</t>
  </si>
  <si>
    <t>Deck Fitting Loss</t>
  </si>
  <si>
    <t>Withdrawal Loss</t>
  </si>
  <si>
    <t>Rim Seal Loss</t>
  </si>
  <si>
    <t xml:space="preserve">      and then multiplying by the fitting loss factor for each fitting. See AP-42, Chapter 7.1, Equation 2-6.  </t>
  </si>
  <si>
    <r>
      <t xml:space="preserve">4.   </t>
    </r>
    <r>
      <rPr>
        <u/>
        <sz val="11"/>
        <rFont val="Arial"/>
        <family val="2"/>
      </rPr>
      <t>Total Deck Fitting Loss Factor</t>
    </r>
    <r>
      <rPr>
        <sz val="11"/>
        <rFont val="Arial"/>
        <family val="2"/>
      </rPr>
      <t>:  This value shall be calculated by using actual tank specific data for the number of each fitting type</t>
    </r>
  </si>
  <si>
    <r>
      <t xml:space="preserve">3.   </t>
    </r>
    <r>
      <rPr>
        <u/>
        <sz val="11"/>
        <rFont val="Arial"/>
        <family val="2"/>
      </rPr>
      <t>Effective Column Diameter</t>
    </r>
    <r>
      <rPr>
        <sz val="11"/>
        <rFont val="Arial"/>
        <family val="2"/>
      </rPr>
      <t>:  Use tank specific effective column diameter or 1.1 for 9" by 7" for built-up columns, 0.7 for 8" diameter</t>
    </r>
  </si>
  <si>
    <t xml:space="preserve">       AP-42 Chapter 7,1, Tables 7.1-2 and 7.1-3. If this value is not known for gasoline, an average value of 6.1 lb/gal can be assumed.</t>
  </si>
  <si>
    <r>
      <t xml:space="preserve">2.   </t>
    </r>
    <r>
      <rPr>
        <u/>
        <sz val="11"/>
        <rFont val="Arial"/>
        <family val="2"/>
      </rPr>
      <t>Average Organic Liquid Density</t>
    </r>
    <r>
      <rPr>
        <sz val="11"/>
        <rFont val="Arial"/>
        <family val="2"/>
      </rPr>
      <t xml:space="preserve">:  A listing of the average organic liquid density for select petrochemicals is provided in </t>
    </r>
  </si>
  <si>
    <t xml:space="preserve">       internal or domed external floating roof tank, this value is zero.</t>
  </si>
  <si>
    <t xml:space="preserve">       weather station or values from AP-42, Chapter 7.1, Table 7.1-9. Average Wind Speed for Santa Maria is 7.0 mph. If tank is an </t>
  </si>
  <si>
    <r>
      <t xml:space="preserve">1.   </t>
    </r>
    <r>
      <rPr>
        <u/>
        <sz val="11"/>
        <rFont val="Arial"/>
        <family val="2"/>
      </rPr>
      <t>Average Wind Speed</t>
    </r>
    <r>
      <rPr>
        <sz val="11"/>
        <rFont val="Arial"/>
        <family val="2"/>
      </rPr>
      <t xml:space="preserve">:  If the ambient wind speed at the tank site is not available, use the wind speed data from the nearest local </t>
    </r>
  </si>
  <si>
    <t>Notes</t>
  </si>
  <si>
    <t>SBCAPCD Default for Crude Oil</t>
  </si>
  <si>
    <t>percent</t>
  </si>
  <si>
    <t>ROC/THC Reactivity………...….……………...</t>
  </si>
  <si>
    <t>mph</t>
  </si>
  <si>
    <r>
      <t>Average Wind Speed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………………….……………</t>
    </r>
  </si>
  <si>
    <t>Permit Application, Calculated Value</t>
  </si>
  <si>
    <t>lb-mole/year</t>
  </si>
  <si>
    <r>
      <t>Total Deck Fitting Loss Factor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>…………………..</t>
    </r>
  </si>
  <si>
    <r>
      <t>feet</t>
    </r>
    <r>
      <rPr>
        <vertAlign val="superscript"/>
        <sz val="11"/>
        <rFont val="Arial"/>
        <family val="2"/>
      </rPr>
      <t>2</t>
    </r>
  </si>
  <si>
    <t>Area of Deck (if appicable)…………………………………………….</t>
  </si>
  <si>
    <t>lb/year</t>
  </si>
  <si>
    <r>
      <t>L</t>
    </r>
    <r>
      <rPr>
        <vertAlign val="subscript"/>
        <sz val="11"/>
        <rFont val="Arial"/>
        <family val="2"/>
      </rPr>
      <t>F</t>
    </r>
  </si>
  <si>
    <t>feet</t>
  </si>
  <si>
    <t>Total Length of Deck Seams (if appicable)……………………</t>
  </si>
  <si>
    <t>dimensionless</t>
  </si>
  <si>
    <r>
      <t>K</t>
    </r>
    <r>
      <rPr>
        <vertAlign val="subscript"/>
        <sz val="11"/>
        <rFont val="Arial"/>
        <family val="2"/>
      </rPr>
      <t>C</t>
    </r>
  </si>
  <si>
    <r>
      <t>Effective Column Diameter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…………………….</t>
    </r>
  </si>
  <si>
    <t>lb/lb-mole</t>
  </si>
  <si>
    <r>
      <t>M</t>
    </r>
    <r>
      <rPr>
        <vertAlign val="subscript"/>
        <sz val="11"/>
        <rFont val="Arial"/>
        <family val="2"/>
      </rPr>
      <t>V</t>
    </r>
  </si>
  <si>
    <t>bbl/yr</t>
  </si>
  <si>
    <t>Annual Throughput…………………………………</t>
  </si>
  <si>
    <t>Default for Crude Oil or Permit Application</t>
  </si>
  <si>
    <t>lb/gal</t>
  </si>
  <si>
    <r>
      <t>Average Organic Liquid Density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………………….</t>
    </r>
  </si>
  <si>
    <t xml:space="preserve">Liquid Molecular Weight…………………………………. </t>
  </si>
  <si>
    <t>AP-42, Chapter 7.1, Equation 2-3</t>
  </si>
  <si>
    <t>P*</t>
  </si>
  <si>
    <t>psia</t>
  </si>
  <si>
    <t>Vapor Pressure…………………………………….</t>
  </si>
  <si>
    <t>Light Rust</t>
  </si>
  <si>
    <t>Shell Condition………………………………….</t>
  </si>
  <si>
    <t>External Floating Roof Tank</t>
  </si>
  <si>
    <r>
      <t>F</t>
    </r>
    <r>
      <rPr>
        <vertAlign val="subscript"/>
        <sz val="11"/>
        <rFont val="Arial"/>
        <family val="2"/>
      </rPr>
      <t>F</t>
    </r>
  </si>
  <si>
    <t>Tank Diameter……………………………………..</t>
  </si>
  <si>
    <t>Bolted Deck Internal Floating Roof Tank</t>
  </si>
  <si>
    <t>Source</t>
  </si>
  <si>
    <t>Units</t>
  </si>
  <si>
    <t>Factor</t>
  </si>
  <si>
    <t>References</t>
  </si>
  <si>
    <t>Welded Deck Internal Floating Roof Tank</t>
  </si>
  <si>
    <r>
      <t>Equation: L</t>
    </r>
    <r>
      <rPr>
        <vertAlign val="subscript"/>
        <sz val="11"/>
        <rFont val="Arial"/>
        <family val="2"/>
      </rPr>
      <t>F</t>
    </r>
    <r>
      <rPr>
        <sz val="11"/>
        <rFont val="Arial"/>
        <family val="2"/>
      </rPr>
      <t xml:space="preserve"> = F</t>
    </r>
    <r>
      <rPr>
        <vertAlign val="subscript"/>
        <sz val="11"/>
        <rFont val="Arial"/>
        <family val="2"/>
      </rPr>
      <t>F</t>
    </r>
    <r>
      <rPr>
        <sz val="11"/>
        <rFont val="Arial"/>
        <family val="2"/>
      </rPr>
      <t xml:space="preserve"> x </t>
    </r>
    <r>
      <rPr>
        <sz val="11"/>
        <rFont val="Arial"/>
        <family val="2"/>
      </rPr>
      <t>P* x  M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* K</t>
    </r>
    <r>
      <rPr>
        <vertAlign val="subscript"/>
        <sz val="11"/>
        <rFont val="Arial"/>
        <family val="2"/>
      </rPr>
      <t>C</t>
    </r>
  </si>
  <si>
    <t>Tank Type</t>
  </si>
  <si>
    <t>Deck Fitting Loss Calculations</t>
  </si>
  <si>
    <r>
      <t>L</t>
    </r>
    <r>
      <rPr>
        <vertAlign val="subscript"/>
        <sz val="11"/>
        <rFont val="Arial"/>
        <family val="2"/>
      </rPr>
      <t>D</t>
    </r>
  </si>
  <si>
    <t>Single-Component Stocks</t>
  </si>
  <si>
    <t>Tank Contents……………………………………….</t>
  </si>
  <si>
    <t>Gasoline</t>
  </si>
  <si>
    <t>External Floating Roof</t>
  </si>
  <si>
    <t>Roof Tank Type……………….……………………</t>
  </si>
  <si>
    <t>Gunite Lining</t>
  </si>
  <si>
    <t>Dense Rust</t>
  </si>
  <si>
    <t>Product Stored</t>
  </si>
  <si>
    <t>Tank Type…………………………………………..</t>
  </si>
  <si>
    <t>Average Clingage Factors (From AP-42, Chapter 7.1, Table 7.1-10</t>
  </si>
  <si>
    <t>D</t>
  </si>
  <si>
    <t>AP-42, Chapter 7.1, Equation 2-9</t>
  </si>
  <si>
    <r>
      <t>feet / feet</t>
    </r>
    <r>
      <rPr>
        <vertAlign val="superscript"/>
        <sz val="11"/>
        <rFont val="Arial"/>
        <family val="2"/>
      </rPr>
      <t>2</t>
    </r>
  </si>
  <si>
    <r>
      <t>S</t>
    </r>
    <r>
      <rPr>
        <vertAlign val="subscript"/>
        <sz val="11"/>
        <rFont val="Arial"/>
        <family val="2"/>
      </rPr>
      <t>D</t>
    </r>
  </si>
  <si>
    <t>Column-Supported Fixed Roof</t>
  </si>
  <si>
    <t>lb-mole/feet-year</t>
  </si>
  <si>
    <r>
      <t>K</t>
    </r>
    <r>
      <rPr>
        <vertAlign val="subscript"/>
        <sz val="11"/>
        <rFont val="Arial"/>
        <family val="2"/>
      </rPr>
      <t>D</t>
    </r>
  </si>
  <si>
    <t>Basic Information</t>
  </si>
  <si>
    <t>Self-Supporting Fixed Roof</t>
  </si>
  <si>
    <r>
      <t>Equation: L</t>
    </r>
    <r>
      <rPr>
        <vertAlign val="subscript"/>
        <sz val="11"/>
        <rFont val="Arial"/>
        <family val="2"/>
      </rPr>
      <t>D</t>
    </r>
    <r>
      <rPr>
        <sz val="11"/>
        <rFont val="Arial"/>
        <family val="2"/>
      </rPr>
      <t xml:space="preserve"> = K</t>
    </r>
    <r>
      <rPr>
        <vertAlign val="subscript"/>
        <sz val="11"/>
        <rFont val="Arial"/>
        <family val="2"/>
      </rPr>
      <t>D</t>
    </r>
    <r>
      <rPr>
        <sz val="11"/>
        <rFont val="Arial"/>
        <family val="2"/>
      </rPr>
      <t xml:space="preserve"> x S</t>
    </r>
    <r>
      <rPr>
        <vertAlign val="subscript"/>
        <sz val="11"/>
        <rFont val="Arial"/>
        <family val="2"/>
      </rPr>
      <t>D</t>
    </r>
    <r>
      <rPr>
        <sz val="11"/>
        <rFont val="Arial"/>
        <family val="2"/>
      </rPr>
      <t xml:space="preserve"> x D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x P* x  M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* K</t>
    </r>
    <r>
      <rPr>
        <vertAlign val="subscript"/>
        <sz val="11"/>
        <rFont val="Arial"/>
        <family val="2"/>
      </rPr>
      <t>C</t>
    </r>
  </si>
  <si>
    <t>Roof Type</t>
  </si>
  <si>
    <r>
      <t xml:space="preserve">Product </t>
    </r>
    <r>
      <rPr>
        <b/>
        <sz val="11"/>
        <rFont val="Arial"/>
        <family val="2"/>
      </rPr>
      <t>Options</t>
    </r>
  </si>
  <si>
    <t>Deck Seam Loss Calculations</t>
  </si>
  <si>
    <t xml:space="preserve">     Primary with Rim Mounted Secondary</t>
  </si>
  <si>
    <t xml:space="preserve">     Primary with Shoe Mounted Secondary</t>
  </si>
  <si>
    <r>
      <t>Atmospheric Pressure (P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>)</t>
    </r>
  </si>
  <si>
    <r>
      <t>L</t>
    </r>
    <r>
      <rPr>
        <vertAlign val="subscript"/>
        <sz val="11"/>
        <rFont val="Arial"/>
        <family val="2"/>
      </rPr>
      <t>WD</t>
    </r>
  </si>
  <si>
    <t xml:space="preserve">     Primary Only</t>
  </si>
  <si>
    <r>
      <t>Vapor Pressure (P</t>
    </r>
    <r>
      <rPr>
        <vertAlign val="subscript"/>
        <sz val="11"/>
        <rFont val="Arial"/>
        <family val="2"/>
      </rPr>
      <t>VA</t>
    </r>
    <r>
      <rPr>
        <sz val="11"/>
        <rFont val="Arial"/>
        <family val="2"/>
      </rPr>
      <t>)</t>
    </r>
  </si>
  <si>
    <r>
      <t>F</t>
    </r>
    <r>
      <rPr>
        <vertAlign val="subscript"/>
        <sz val="11"/>
        <rFont val="Arial"/>
        <family val="2"/>
      </rPr>
      <t>C</t>
    </r>
  </si>
  <si>
    <t>Riveted Tanks</t>
  </si>
  <si>
    <t>AP-42, Chapter 7.1, Table 7.1-11</t>
  </si>
  <si>
    <r>
      <t>N</t>
    </r>
    <r>
      <rPr>
        <vertAlign val="subscript"/>
        <sz val="11"/>
        <rFont val="Arial"/>
        <family val="2"/>
      </rPr>
      <t>C</t>
    </r>
  </si>
  <si>
    <t>P* Calculation</t>
  </si>
  <si>
    <r>
      <t>W</t>
    </r>
    <r>
      <rPr>
        <vertAlign val="subscript"/>
        <sz val="11"/>
        <rFont val="Arial"/>
        <family val="2"/>
      </rPr>
      <t>L</t>
    </r>
  </si>
  <si>
    <t xml:space="preserve">     Primary with Weather Shield</t>
  </si>
  <si>
    <t>AP-42, Chapter 7.1, Table 7.1-10</t>
  </si>
  <si>
    <r>
      <t>bbl/1,000 ft</t>
    </r>
    <r>
      <rPr>
        <vertAlign val="superscript"/>
        <sz val="11"/>
        <rFont val="Arial"/>
        <family val="2"/>
      </rPr>
      <t>2</t>
    </r>
  </si>
  <si>
    <r>
      <t>C</t>
    </r>
    <r>
      <rPr>
        <vertAlign val="subscript"/>
        <sz val="11"/>
        <rFont val="Arial"/>
        <family val="2"/>
      </rPr>
      <t>S</t>
    </r>
  </si>
  <si>
    <t>bbl/year</t>
  </si>
  <si>
    <t>Q</t>
  </si>
  <si>
    <t>Vapor Mounted Seals</t>
  </si>
  <si>
    <r>
      <t>Equation: L</t>
    </r>
    <r>
      <rPr>
        <vertAlign val="subscript"/>
        <sz val="11"/>
        <rFont val="Arial"/>
        <family val="2"/>
      </rPr>
      <t>WD</t>
    </r>
    <r>
      <rPr>
        <sz val="11"/>
        <rFont val="Arial"/>
        <family val="2"/>
      </rPr>
      <t xml:space="preserve"> = (0.943 x Q x C</t>
    </r>
    <r>
      <rPr>
        <vertAlign val="subscript"/>
        <sz val="11"/>
        <rFont val="Arial"/>
        <family val="2"/>
      </rPr>
      <t>S</t>
    </r>
    <r>
      <rPr>
        <sz val="11"/>
        <rFont val="Arial"/>
        <family val="2"/>
      </rPr>
      <t xml:space="preserve"> x W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 xml:space="preserve"> / D) * (1 + [ N</t>
    </r>
    <r>
      <rPr>
        <vertAlign val="subscript"/>
        <sz val="11"/>
        <rFont val="Arial"/>
        <family val="2"/>
      </rPr>
      <t>C</t>
    </r>
    <r>
      <rPr>
        <sz val="11"/>
        <rFont val="Arial"/>
        <family val="2"/>
      </rPr>
      <t xml:space="preserve"> x F</t>
    </r>
    <r>
      <rPr>
        <vertAlign val="subscript"/>
        <sz val="11"/>
        <rFont val="Arial"/>
        <family val="2"/>
      </rPr>
      <t>C</t>
    </r>
    <r>
      <rPr>
        <sz val="11"/>
        <rFont val="Arial"/>
        <family val="2"/>
      </rPr>
      <t xml:space="preserve"> / D] )</t>
    </r>
  </si>
  <si>
    <t>Withdrawal Loss Calculations</t>
  </si>
  <si>
    <t>Liquid Mounted Seals</t>
  </si>
  <si>
    <r>
      <t>L</t>
    </r>
    <r>
      <rPr>
        <vertAlign val="subscript"/>
        <sz val="11"/>
        <rFont val="Arial"/>
        <family val="2"/>
      </rPr>
      <t>R</t>
    </r>
  </si>
  <si>
    <t>Mechanical Shoe</t>
  </si>
  <si>
    <t>Welded tanks</t>
  </si>
  <si>
    <t>Rim Loss Value Lookup Table</t>
  </si>
  <si>
    <t>n</t>
  </si>
  <si>
    <t>v</t>
  </si>
  <si>
    <t>Seal Type</t>
  </si>
  <si>
    <r>
      <t>K</t>
    </r>
    <r>
      <rPr>
        <vertAlign val="subscript"/>
        <sz val="11"/>
        <rFont val="Arial"/>
        <family val="2"/>
      </rPr>
      <t>Rb</t>
    </r>
  </si>
  <si>
    <r>
      <t>K</t>
    </r>
    <r>
      <rPr>
        <vertAlign val="subscript"/>
        <sz val="11"/>
        <rFont val="Arial"/>
        <family val="2"/>
      </rPr>
      <t>Ra</t>
    </r>
  </si>
  <si>
    <r>
      <t>K</t>
    </r>
    <r>
      <rPr>
        <i/>
        <vertAlign val="subscript"/>
        <sz val="11"/>
        <rFont val="Arial"/>
        <family val="2"/>
      </rPr>
      <t>RB</t>
    </r>
  </si>
  <si>
    <r>
      <t>K</t>
    </r>
    <r>
      <rPr>
        <i/>
        <vertAlign val="subscript"/>
        <sz val="11"/>
        <rFont val="Arial"/>
        <family val="2"/>
      </rPr>
      <t>RA</t>
    </r>
  </si>
  <si>
    <r>
      <t>Equation: L</t>
    </r>
    <r>
      <rPr>
        <vertAlign val="subscript"/>
        <sz val="11"/>
        <rFont val="Arial"/>
        <family val="2"/>
      </rPr>
      <t>R</t>
    </r>
    <r>
      <rPr>
        <sz val="11"/>
        <rFont val="Arial"/>
        <family val="2"/>
      </rPr>
      <t xml:space="preserve"> = ( K</t>
    </r>
    <r>
      <rPr>
        <vertAlign val="subscript"/>
        <sz val="11"/>
        <rFont val="Arial"/>
        <family val="2"/>
      </rPr>
      <t>Ra</t>
    </r>
    <r>
      <rPr>
        <sz val="11"/>
        <rFont val="Arial"/>
        <family val="2"/>
      </rPr>
      <t xml:space="preserve"> + (K</t>
    </r>
    <r>
      <rPr>
        <vertAlign val="subscript"/>
        <sz val="11"/>
        <rFont val="Arial"/>
        <family val="2"/>
      </rPr>
      <t>Rb</t>
    </r>
    <r>
      <rPr>
        <sz val="11"/>
        <rFont val="Arial"/>
        <family val="2"/>
      </rPr>
      <t xml:space="preserve"> * V</t>
    </r>
    <r>
      <rPr>
        <vertAlign val="superscript"/>
        <sz val="11"/>
        <rFont val="Arial"/>
        <family val="2"/>
      </rPr>
      <t>n</t>
    </r>
    <r>
      <rPr>
        <sz val="11"/>
        <rFont val="Arial"/>
        <family val="2"/>
      </rPr>
      <t xml:space="preserve"> )) * D x P* x M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x K</t>
    </r>
    <r>
      <rPr>
        <vertAlign val="subscript"/>
        <sz val="11"/>
        <rFont val="Arial"/>
        <family val="2"/>
      </rPr>
      <t>C</t>
    </r>
  </si>
  <si>
    <t>Rim Loss Value Lookup Table (From AP-42 Chapter 7.1, Table 7.1-8)</t>
  </si>
  <si>
    <t>Rim Loss Calculations</t>
  </si>
  <si>
    <t>Reference Tables and Calculated Values</t>
  </si>
  <si>
    <t>FLOATING ROOF TANK EMISSION CALCULATIONS (Ver. 2.0)</t>
  </si>
  <si>
    <t>X</t>
  </si>
  <si>
    <t xml:space="preserve">      pipe columns, and 1.0 if column construction details are not known.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</si>
</sst>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0.00_)"/>
    <numFmt numFmtId="167" formatCode="0.000E+00"/>
    <numFmt numFmtId="168" formatCode="0.000"/>
    <numFmt numFmtId="169" formatCode="0.0000"/>
    <numFmt numFmtId="170" formatCode="0.0"/>
  </numFmts>
  <fonts count="18">
    <font>
      <sz val="11"/>
      <color theme="1"/>
      <name val="Calibri"/>
      <family val="2"/>
      <scheme val="minor"/>
    </font>
    <font>
      <sz val="12"/>
      <name val="Helv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G Times (WN)"/>
    </font>
    <font>
      <sz val="12"/>
      <name val="Tms Rmn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i/>
      <u/>
      <sz val="11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vertAlign val="subscript"/>
      <sz val="11"/>
      <name val="Arial"/>
      <family val="2"/>
    </font>
    <font>
      <i/>
      <vertAlign val="sub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6" fillId="0" borderId="0"/>
    <xf numFmtId="164" fontId="1" fillId="0" borderId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164" fontId="1" fillId="0" borderId="0"/>
    <xf numFmtId="164" fontId="6" fillId="0" borderId="0"/>
    <xf numFmtId="0" fontId="7" fillId="0" borderId="0"/>
    <xf numFmtId="0" fontId="3" fillId="0" borderId="0"/>
    <xf numFmtId="0" fontId="3" fillId="0" borderId="0"/>
  </cellStyleXfs>
  <cellXfs count="295">
    <xf numFmtId="0" fontId="0" fillId="0" borderId="0" xfId="0"/>
    <xf numFmtId="164" fontId="7" fillId="2" borderId="0" xfId="2" applyFont="1" applyFill="1" applyAlignment="1" applyProtection="1">
      <alignment horizontal="left" vertical="center"/>
    </xf>
    <xf numFmtId="164" fontId="7" fillId="2" borderId="0" xfId="2" applyFont="1" applyFill="1" applyBorder="1" applyAlignment="1" applyProtection="1">
      <alignment horizontal="left" vertical="center"/>
    </xf>
    <xf numFmtId="164" fontId="7" fillId="2" borderId="1" xfId="2" applyFont="1" applyFill="1" applyBorder="1" applyAlignment="1" applyProtection="1">
      <alignment horizontal="left" vertical="center"/>
    </xf>
    <xf numFmtId="164" fontId="7" fillId="2" borderId="2" xfId="2" applyFont="1" applyFill="1" applyBorder="1" applyAlignment="1" applyProtection="1">
      <alignment horizontal="left" vertical="center"/>
    </xf>
    <xf numFmtId="164" fontId="7" fillId="2" borderId="4" xfId="2" applyFont="1" applyFill="1" applyBorder="1" applyAlignment="1" applyProtection="1">
      <alignment horizontal="left" vertical="center"/>
    </xf>
    <xf numFmtId="164" fontId="7" fillId="2" borderId="5" xfId="2" applyFont="1" applyFill="1" applyBorder="1" applyAlignment="1" applyProtection="1">
      <alignment horizontal="left" vertical="center"/>
    </xf>
    <xf numFmtId="164" fontId="7" fillId="2" borderId="6" xfId="2" applyFont="1" applyFill="1" applyBorder="1" applyAlignment="1" applyProtection="1">
      <alignment horizontal="left" vertical="center"/>
    </xf>
    <xf numFmtId="164" fontId="8" fillId="3" borderId="0" xfId="2" applyNumberFormat="1" applyFont="1" applyFill="1" applyBorder="1" applyAlignment="1" applyProtection="1">
      <alignment horizontal="left" vertical="center"/>
    </xf>
    <xf numFmtId="164" fontId="7" fillId="3" borderId="0" xfId="2" applyNumberFormat="1" applyFont="1" applyFill="1" applyBorder="1" applyAlignment="1" applyProtection="1">
      <alignment horizontal="left" vertical="center"/>
    </xf>
    <xf numFmtId="164" fontId="11" fillId="3" borderId="0" xfId="2" applyNumberFormat="1" applyFont="1" applyFill="1" applyBorder="1" applyAlignment="1" applyProtection="1">
      <alignment horizontal="left" vertical="center"/>
    </xf>
    <xf numFmtId="164" fontId="11" fillId="2" borderId="0" xfId="2" applyFont="1" applyFill="1" applyBorder="1" applyAlignment="1" applyProtection="1">
      <alignment horizontal="left" vertical="center"/>
    </xf>
    <xf numFmtId="164" fontId="7" fillId="2" borderId="0" xfId="2" applyNumberFormat="1" applyFont="1" applyFill="1" applyBorder="1" applyAlignment="1" applyProtection="1">
      <alignment horizontal="left" vertical="center"/>
    </xf>
    <xf numFmtId="164" fontId="7" fillId="2" borderId="0" xfId="2" quotePrefix="1" applyNumberFormat="1" applyFont="1" applyFill="1" applyBorder="1" applyAlignment="1" applyProtection="1">
      <alignment horizontal="left" vertical="center"/>
    </xf>
    <xf numFmtId="164" fontId="7" fillId="2" borderId="0" xfId="3" applyNumberFormat="1" applyFont="1" applyFill="1" applyBorder="1" applyAlignment="1" applyProtection="1">
      <alignment horizontal="left" vertical="center"/>
    </xf>
    <xf numFmtId="165" fontId="7" fillId="2" borderId="0" xfId="1" applyNumberFormat="1" applyFont="1" applyFill="1" applyBorder="1" applyAlignment="1" applyProtection="1">
      <alignment horizontal="left" vertical="center"/>
    </xf>
    <xf numFmtId="167" fontId="7" fillId="2" borderId="0" xfId="2" applyNumberFormat="1" applyFont="1" applyFill="1" applyBorder="1" applyAlignment="1" applyProtection="1">
      <alignment horizontal="left" vertical="center"/>
    </xf>
    <xf numFmtId="167" fontId="7" fillId="2" borderId="0" xfId="1" applyNumberFormat="1" applyFont="1" applyFill="1" applyBorder="1" applyAlignment="1" applyProtection="1">
      <alignment horizontal="left" vertical="center"/>
    </xf>
    <xf numFmtId="164" fontId="7" fillId="2" borderId="0" xfId="2" applyFont="1" applyFill="1" applyBorder="1" applyAlignment="1" applyProtection="1">
      <alignment horizontal="left" vertical="center"/>
      <protection locked="0"/>
    </xf>
    <xf numFmtId="166" fontId="7" fillId="2" borderId="0" xfId="2" applyNumberFormat="1" applyFont="1" applyFill="1" applyBorder="1" applyAlignment="1" applyProtection="1">
      <alignment horizontal="left" vertical="center"/>
    </xf>
    <xf numFmtId="164" fontId="9" fillId="2" borderId="0" xfId="2" applyNumberFormat="1" applyFont="1" applyFill="1" applyAlignment="1" applyProtection="1">
      <alignment horizontal="left" vertical="center"/>
    </xf>
    <xf numFmtId="164" fontId="10" fillId="2" borderId="0" xfId="2" applyFont="1" applyFill="1" applyAlignment="1" applyProtection="1">
      <alignment horizontal="left" vertical="center"/>
    </xf>
    <xf numFmtId="164" fontId="7" fillId="2" borderId="0" xfId="2" quotePrefix="1" applyFont="1" applyFill="1" applyAlignment="1" applyProtection="1">
      <alignment horizontal="left" vertical="center"/>
    </xf>
    <xf numFmtId="43" fontId="7" fillId="2" borderId="0" xfId="1" applyFont="1" applyFill="1" applyAlignment="1" applyProtection="1">
      <alignment horizontal="left" vertical="center"/>
    </xf>
    <xf numFmtId="164" fontId="11" fillId="2" borderId="0" xfId="2" applyFont="1" applyFill="1" applyAlignment="1" applyProtection="1">
      <alignment horizontal="left" vertical="center"/>
    </xf>
    <xf numFmtId="164" fontId="12" fillId="2" borderId="0" xfId="3" applyNumberFormat="1" applyFont="1" applyFill="1" applyBorder="1" applyAlignment="1" applyProtection="1">
      <alignment horizontal="left" vertical="center"/>
      <protection locked="0"/>
    </xf>
    <xf numFmtId="164" fontId="7" fillId="2" borderId="5" xfId="2" quotePrefix="1" applyNumberFormat="1" applyFont="1" applyFill="1" applyBorder="1" applyAlignment="1" applyProtection="1">
      <alignment horizontal="left" vertical="center"/>
    </xf>
    <xf numFmtId="164" fontId="7" fillId="2" borderId="5" xfId="3" applyNumberFormat="1" applyFont="1" applyFill="1" applyBorder="1" applyAlignment="1" applyProtection="1">
      <alignment horizontal="left" vertical="center"/>
    </xf>
    <xf numFmtId="164" fontId="7" fillId="2" borderId="5" xfId="2" applyNumberFormat="1" applyFont="1" applyFill="1" applyBorder="1" applyAlignment="1" applyProtection="1">
      <alignment horizontal="left" vertical="center"/>
    </xf>
    <xf numFmtId="164" fontId="12" fillId="2" borderId="0" xfId="2" applyNumberFormat="1" applyFont="1" applyFill="1" applyBorder="1" applyAlignment="1" applyProtection="1">
      <alignment horizontal="left" vertical="center"/>
      <protection locked="0"/>
    </xf>
    <xf numFmtId="164" fontId="11" fillId="2" borderId="0" xfId="2" applyNumberFormat="1" applyFont="1" applyFill="1" applyBorder="1" applyAlignment="1" applyProtection="1">
      <alignment horizontal="left" vertical="center"/>
    </xf>
    <xf numFmtId="164" fontId="8" fillId="2" borderId="0" xfId="2" applyNumberFormat="1" applyFont="1" applyFill="1" applyBorder="1" applyAlignment="1" applyProtection="1">
      <alignment horizontal="left" vertical="center"/>
    </xf>
    <xf numFmtId="10" fontId="7" fillId="2" borderId="5" xfId="2" applyNumberFormat="1" applyFont="1" applyFill="1" applyBorder="1" applyAlignment="1" applyProtection="1">
      <alignment horizontal="left" vertical="center"/>
    </xf>
    <xf numFmtId="164" fontId="13" fillId="2" borderId="0" xfId="2" applyFont="1" applyFill="1" applyBorder="1" applyAlignment="1" applyProtection="1">
      <alignment horizontal="left" vertical="center"/>
    </xf>
    <xf numFmtId="4" fontId="7" fillId="2" borderId="0" xfId="2" applyNumberFormat="1" applyFont="1" applyFill="1" applyBorder="1" applyAlignment="1" applyProtection="1">
      <alignment horizontal="left" vertical="center"/>
    </xf>
    <xf numFmtId="2" fontId="7" fillId="2" borderId="0" xfId="2" applyNumberFormat="1" applyFont="1" applyFill="1" applyBorder="1" applyAlignment="1" applyProtection="1">
      <alignment horizontal="left" vertical="center"/>
    </xf>
    <xf numFmtId="168" fontId="7" fillId="2" borderId="0" xfId="2" applyNumberFormat="1" applyFont="1" applyFill="1" applyBorder="1" applyAlignment="1" applyProtection="1">
      <alignment horizontal="left" vertical="center"/>
    </xf>
    <xf numFmtId="3" fontId="7" fillId="2" borderId="0" xfId="1" applyNumberFormat="1" applyFont="1" applyFill="1" applyBorder="1" applyAlignment="1" applyProtection="1">
      <alignment horizontal="left" vertical="center"/>
    </xf>
    <xf numFmtId="164" fontId="8" fillId="3" borderId="11" xfId="2" applyNumberFormat="1" applyFont="1" applyFill="1" applyBorder="1" applyAlignment="1" applyProtection="1">
      <alignment horizontal="center" vertical="center"/>
    </xf>
    <xf numFmtId="164" fontId="8" fillId="3" borderId="20" xfId="2" applyNumberFormat="1" applyFont="1" applyFill="1" applyBorder="1" applyAlignment="1" applyProtection="1">
      <alignment horizontal="center" vertical="center"/>
    </xf>
    <xf numFmtId="164" fontId="8" fillId="3" borderId="17" xfId="2" applyNumberFormat="1" applyFont="1" applyFill="1" applyBorder="1" applyAlignment="1" applyProtection="1">
      <alignment horizontal="center" vertical="center"/>
    </xf>
    <xf numFmtId="164" fontId="7" fillId="2" borderId="12" xfId="2" quotePrefix="1" applyNumberFormat="1" applyFont="1" applyFill="1" applyBorder="1" applyAlignment="1" applyProtection="1">
      <alignment horizontal="center" vertical="center"/>
    </xf>
    <xf numFmtId="2" fontId="7" fillId="2" borderId="12" xfId="1" applyNumberFormat="1" applyFont="1" applyFill="1" applyBorder="1" applyAlignment="1" applyProtection="1">
      <alignment horizontal="center" vertical="center"/>
    </xf>
    <xf numFmtId="2" fontId="7" fillId="2" borderId="21" xfId="1" applyNumberFormat="1" applyFont="1" applyFill="1" applyBorder="1" applyAlignment="1" applyProtection="1">
      <alignment horizontal="center" vertical="center"/>
    </xf>
    <xf numFmtId="2" fontId="7" fillId="2" borderId="3" xfId="1" applyNumberFormat="1" applyFont="1" applyFill="1" applyBorder="1" applyAlignment="1" applyProtection="1">
      <alignment horizontal="center" vertical="center"/>
    </xf>
    <xf numFmtId="164" fontId="7" fillId="2" borderId="10" xfId="2" quotePrefix="1" applyNumberFormat="1" applyFont="1" applyFill="1" applyBorder="1" applyAlignment="1" applyProtection="1">
      <alignment horizontal="center" vertical="center"/>
    </xf>
    <xf numFmtId="2" fontId="7" fillId="2" borderId="10" xfId="1" applyNumberFormat="1" applyFont="1" applyFill="1" applyBorder="1" applyAlignment="1" applyProtection="1">
      <alignment horizontal="center" vertical="center"/>
    </xf>
    <xf numFmtId="2" fontId="7" fillId="2" borderId="15" xfId="1" applyNumberFormat="1" applyFont="1" applyFill="1" applyBorder="1" applyAlignment="1" applyProtection="1">
      <alignment horizontal="center" vertical="center"/>
    </xf>
    <xf numFmtId="2" fontId="7" fillId="2" borderId="16" xfId="1" applyNumberFormat="1" applyFont="1" applyFill="1" applyBorder="1" applyAlignment="1" applyProtection="1">
      <alignment horizontal="center" vertical="center"/>
    </xf>
    <xf numFmtId="164" fontId="7" fillId="2" borderId="14" xfId="2" quotePrefix="1" applyNumberFormat="1" applyFont="1" applyFill="1" applyBorder="1" applyAlignment="1" applyProtection="1">
      <alignment horizontal="center" vertical="center"/>
    </xf>
    <xf numFmtId="2" fontId="7" fillId="2" borderId="14" xfId="1" applyNumberFormat="1" applyFont="1" applyFill="1" applyBorder="1" applyAlignment="1" applyProtection="1">
      <alignment horizontal="center" vertical="center"/>
    </xf>
    <xf numFmtId="2" fontId="7" fillId="2" borderId="18" xfId="1" applyNumberFormat="1" applyFont="1" applyFill="1" applyBorder="1" applyAlignment="1" applyProtection="1">
      <alignment horizontal="center" vertical="center"/>
    </xf>
    <xf numFmtId="164" fontId="8" fillId="2" borderId="13" xfId="2" quotePrefix="1" applyNumberFormat="1" applyFont="1" applyFill="1" applyBorder="1" applyAlignment="1" applyProtection="1">
      <alignment horizontal="center" vertical="center"/>
    </xf>
    <xf numFmtId="2" fontId="8" fillId="2" borderId="13" xfId="1" applyNumberFormat="1" applyFont="1" applyFill="1" applyBorder="1" applyAlignment="1" applyProtection="1">
      <alignment horizontal="center" vertical="center"/>
    </xf>
    <xf numFmtId="2" fontId="8" fillId="2" borderId="23" xfId="1" applyNumberFormat="1" applyFont="1" applyFill="1" applyBorder="1" applyAlignment="1" applyProtection="1">
      <alignment horizontal="center" vertical="center"/>
    </xf>
    <xf numFmtId="2" fontId="8" fillId="2" borderId="19" xfId="1" applyNumberFormat="1" applyFont="1" applyFill="1" applyBorder="1" applyAlignment="1" applyProtection="1">
      <alignment horizontal="center" vertical="center"/>
    </xf>
    <xf numFmtId="1" fontId="12" fillId="2" borderId="0" xfId="1" applyNumberFormat="1" applyFont="1" applyFill="1" applyBorder="1" applyAlignment="1" applyProtection="1">
      <alignment horizontal="left" vertical="center"/>
      <protection locked="0"/>
    </xf>
    <xf numFmtId="164" fontId="7" fillId="2" borderId="27" xfId="2" applyNumberFormat="1" applyFont="1" applyFill="1" applyBorder="1" applyAlignment="1" applyProtection="1">
      <alignment horizontal="center" vertical="center"/>
    </xf>
    <xf numFmtId="168" fontId="7" fillId="2" borderId="27" xfId="2" applyNumberFormat="1" applyFont="1" applyFill="1" applyBorder="1" applyAlignment="1" applyProtection="1">
      <alignment horizontal="center" vertical="center"/>
    </xf>
    <xf numFmtId="164" fontId="7" fillId="2" borderId="33" xfId="2" applyFont="1" applyFill="1" applyBorder="1" applyAlignment="1" applyProtection="1">
      <alignment horizontal="center" vertical="center"/>
    </xf>
    <xf numFmtId="164" fontId="7" fillId="2" borderId="35" xfId="2" applyNumberFormat="1" applyFont="1" applyFill="1" applyBorder="1" applyAlignment="1" applyProtection="1">
      <alignment horizontal="center" vertical="center"/>
    </xf>
    <xf numFmtId="164" fontId="7" fillId="2" borderId="36" xfId="2" applyFont="1" applyFill="1" applyBorder="1" applyAlignment="1" applyProtection="1">
      <alignment horizontal="center" vertical="center"/>
    </xf>
    <xf numFmtId="164" fontId="7" fillId="2" borderId="28" xfId="2" applyNumberFormat="1" applyFont="1" applyFill="1" applyBorder="1" applyAlignment="1" applyProtection="1">
      <alignment horizontal="center" vertical="center"/>
    </xf>
    <xf numFmtId="164" fontId="7" fillId="2" borderId="38" xfId="2" applyFont="1" applyFill="1" applyBorder="1" applyAlignment="1" applyProtection="1">
      <alignment horizontal="center" vertical="center"/>
    </xf>
    <xf numFmtId="164" fontId="7" fillId="2" borderId="32" xfId="2" applyNumberFormat="1" applyFont="1" applyFill="1" applyBorder="1" applyAlignment="1" applyProtection="1">
      <alignment horizontal="center" vertical="center"/>
    </xf>
    <xf numFmtId="164" fontId="7" fillId="2" borderId="33" xfId="2" applyNumberFormat="1" applyFont="1" applyFill="1" applyBorder="1" applyAlignment="1" applyProtection="1">
      <alignment horizontal="center" vertical="center"/>
    </xf>
    <xf numFmtId="166" fontId="7" fillId="2" borderId="27" xfId="2" applyNumberFormat="1" applyFont="1" applyFill="1" applyBorder="1" applyAlignment="1" applyProtection="1">
      <alignment horizontal="center" vertical="center"/>
    </xf>
    <xf numFmtId="164" fontId="7" fillId="2" borderId="34" xfId="2" applyNumberFormat="1" applyFont="1" applyFill="1" applyBorder="1" applyAlignment="1" applyProtection="1">
      <alignment horizontal="center" vertical="center"/>
    </xf>
    <xf numFmtId="164" fontId="7" fillId="2" borderId="36" xfId="2" applyNumberFormat="1" applyFont="1" applyFill="1" applyBorder="1" applyAlignment="1" applyProtection="1">
      <alignment horizontal="center" vertical="center"/>
    </xf>
    <xf numFmtId="164" fontId="7" fillId="2" borderId="37" xfId="2" applyNumberFormat="1" applyFont="1" applyFill="1" applyBorder="1" applyAlignment="1" applyProtection="1">
      <alignment horizontal="center" vertical="center"/>
    </xf>
    <xf numFmtId="164" fontId="7" fillId="2" borderId="38" xfId="2" applyNumberFormat="1" applyFont="1" applyFill="1" applyBorder="1" applyAlignment="1" applyProtection="1">
      <alignment horizontal="center" vertical="center"/>
    </xf>
    <xf numFmtId="164" fontId="9" fillId="3" borderId="40" xfId="2" applyNumberFormat="1" applyFont="1" applyFill="1" applyBorder="1" applyAlignment="1" applyProtection="1">
      <alignment horizontal="center" vertical="center"/>
    </xf>
    <xf numFmtId="164" fontId="9" fillId="3" borderId="41" xfId="2" applyNumberFormat="1" applyFont="1" applyFill="1" applyBorder="1" applyAlignment="1" applyProtection="1">
      <alignment horizontal="center" vertical="center"/>
    </xf>
    <xf numFmtId="164" fontId="9" fillId="2" borderId="41" xfId="2" applyFont="1" applyFill="1" applyBorder="1" applyAlignment="1" applyProtection="1">
      <alignment horizontal="center" vertical="center"/>
    </xf>
    <xf numFmtId="164" fontId="8" fillId="2" borderId="1" xfId="2" quotePrefix="1" applyFont="1" applyFill="1" applyBorder="1" applyAlignment="1" applyProtection="1">
      <alignment horizontal="left" vertical="center"/>
    </xf>
    <xf numFmtId="164" fontId="11" fillId="2" borderId="1" xfId="2" applyNumberFormat="1" applyFont="1" applyFill="1" applyBorder="1" applyAlignment="1" applyProtection="1">
      <alignment horizontal="left" vertical="center"/>
    </xf>
    <xf numFmtId="164" fontId="7" fillId="2" borderId="1" xfId="2" applyNumberFormat="1" applyFont="1" applyFill="1" applyBorder="1" applyAlignment="1" applyProtection="1">
      <alignment horizontal="left" vertical="center"/>
    </xf>
    <xf numFmtId="164" fontId="7" fillId="2" borderId="4" xfId="2" quotePrefix="1" applyNumberFormat="1" applyFont="1" applyFill="1" applyBorder="1" applyAlignment="1" applyProtection="1">
      <alignment horizontal="left" vertical="center"/>
    </xf>
    <xf numFmtId="168" fontId="7" fillId="2" borderId="5" xfId="2" applyNumberFormat="1" applyFont="1" applyFill="1" applyBorder="1" applyAlignment="1" applyProtection="1">
      <alignment horizontal="left" vertical="center"/>
    </xf>
    <xf numFmtId="3" fontId="12" fillId="2" borderId="0" xfId="1" applyNumberFormat="1" applyFont="1" applyFill="1" applyBorder="1" applyAlignment="1" applyProtection="1">
      <alignment horizontal="left" vertical="center"/>
      <protection locked="0"/>
    </xf>
    <xf numFmtId="0" fontId="7" fillId="0" borderId="5" xfId="17" applyFont="1" applyBorder="1" applyAlignment="1" applyProtection="1">
      <alignment vertical="center"/>
      <protection locked="0"/>
    </xf>
    <xf numFmtId="164" fontId="8" fillId="2" borderId="0" xfId="2" applyFont="1" applyFill="1" applyBorder="1" applyAlignment="1" applyProtection="1">
      <alignment vertical="center"/>
    </xf>
    <xf numFmtId="164" fontId="9" fillId="2" borderId="45" xfId="2" applyFont="1" applyFill="1" applyBorder="1" applyAlignment="1" applyProtection="1">
      <alignment vertical="center" wrapText="1"/>
    </xf>
    <xf numFmtId="164" fontId="9" fillId="2" borderId="46" xfId="2" applyFont="1" applyFill="1" applyBorder="1" applyAlignment="1" applyProtection="1">
      <alignment horizontal="left" vertical="center"/>
    </xf>
    <xf numFmtId="164" fontId="7" fillId="2" borderId="49" xfId="2" applyNumberFormat="1" applyFont="1" applyFill="1" applyBorder="1" applyAlignment="1" applyProtection="1">
      <alignment horizontal="center" vertical="center"/>
    </xf>
    <xf numFmtId="164" fontId="7" fillId="2" borderId="50" xfId="2" applyNumberFormat="1" applyFont="1" applyFill="1" applyBorder="1" applyAlignment="1" applyProtection="1">
      <alignment horizontal="center" vertical="center"/>
    </xf>
    <xf numFmtId="164" fontId="12" fillId="2" borderId="0" xfId="2" applyFont="1" applyFill="1" applyAlignment="1" applyProtection="1">
      <alignment horizontal="left" vertical="center"/>
      <protection locked="0"/>
    </xf>
    <xf numFmtId="164" fontId="9" fillId="3" borderId="39" xfId="2" applyNumberFormat="1" applyFont="1" applyFill="1" applyBorder="1" applyAlignment="1" applyProtection="1">
      <alignment horizontal="center" vertical="center"/>
    </xf>
    <xf numFmtId="164" fontId="2" fillId="2" borderId="0" xfId="16" applyFont="1" applyFill="1" applyBorder="1" applyAlignment="1" applyProtection="1">
      <alignment horizontal="left" vertical="center"/>
    </xf>
    <xf numFmtId="0" fontId="7" fillId="2" borderId="0" xfId="17" quotePrefix="1" applyFont="1" applyFill="1" applyBorder="1" applyAlignment="1" applyProtection="1">
      <alignment horizontal="left" vertical="center"/>
    </xf>
    <xf numFmtId="0" fontId="7" fillId="2" borderId="0" xfId="17" applyFont="1" applyFill="1" applyBorder="1" applyAlignment="1" applyProtection="1">
      <alignment horizontal="left" vertical="center"/>
    </xf>
    <xf numFmtId="164" fontId="2" fillId="2" borderId="5" xfId="16" applyFont="1" applyFill="1" applyBorder="1" applyAlignment="1" applyProtection="1">
      <alignment horizontal="left" vertical="center"/>
    </xf>
    <xf numFmtId="164" fontId="7" fillId="2" borderId="23" xfId="3" applyNumberFormat="1" applyFont="1" applyFill="1" applyBorder="1" applyAlignment="1" applyProtection="1">
      <alignment horizontal="center" vertical="center"/>
    </xf>
    <xf numFmtId="164" fontId="7" fillId="2" borderId="51" xfId="3" applyNumberFormat="1" applyFont="1" applyFill="1" applyBorder="1" applyAlignment="1" applyProtection="1">
      <alignment horizontal="center" vertical="center"/>
    </xf>
    <xf numFmtId="10" fontId="7" fillId="2" borderId="0" xfId="2" applyNumberFormat="1" applyFont="1" applyFill="1" applyBorder="1" applyAlignment="1" applyProtection="1">
      <alignment horizontal="left" vertical="center"/>
    </xf>
    <xf numFmtId="2" fontId="7" fillId="2" borderId="22" xfId="2" applyNumberFormat="1" applyFont="1" applyFill="1" applyBorder="1" applyAlignment="1" applyProtection="1">
      <alignment horizontal="center" vertical="center"/>
    </xf>
    <xf numFmtId="164" fontId="7" fillId="2" borderId="0" xfId="2" quotePrefix="1" applyNumberFormat="1" applyFont="1" applyFill="1" applyAlignment="1" applyProtection="1">
      <alignment horizontal="left" vertical="center"/>
    </xf>
    <xf numFmtId="164" fontId="7" fillId="2" borderId="2" xfId="3" applyNumberFormat="1" applyFont="1" applyFill="1" applyBorder="1" applyAlignment="1" applyProtection="1">
      <alignment horizontal="left" vertical="center"/>
    </xf>
    <xf numFmtId="0" fontId="7" fillId="0" borderId="5" xfId="18" quotePrefix="1" applyFont="1" applyBorder="1" applyAlignment="1" applyProtection="1">
      <alignment horizontal="left" vertical="center"/>
    </xf>
    <xf numFmtId="0" fontId="7" fillId="0" borderId="5" xfId="17" applyFont="1" applyBorder="1" applyAlignment="1" applyProtection="1">
      <alignment horizontal="left" vertical="center"/>
    </xf>
    <xf numFmtId="0" fontId="7" fillId="0" borderId="0" xfId="19" applyFont="1" applyFill="1" applyAlignment="1">
      <alignment vertical="center"/>
    </xf>
    <xf numFmtId="0" fontId="7" fillId="0" borderId="0" xfId="19" applyFont="1" applyFill="1" applyAlignment="1">
      <alignment horizontal="center" vertical="center"/>
    </xf>
    <xf numFmtId="0" fontId="3" fillId="0" borderId="0" xfId="19" applyFont="1" applyAlignment="1">
      <alignment vertical="center"/>
    </xf>
    <xf numFmtId="0" fontId="7" fillId="0" borderId="0" xfId="19" applyFont="1" applyFill="1" applyBorder="1" applyAlignment="1">
      <alignment horizontal="center" vertical="center"/>
    </xf>
    <xf numFmtId="0" fontId="7" fillId="0" borderId="0" xfId="19" applyFont="1" applyFill="1" applyBorder="1" applyAlignment="1">
      <alignment vertical="center"/>
    </xf>
    <xf numFmtId="0" fontId="7" fillId="0" borderId="5" xfId="17" applyFont="1" applyBorder="1" applyAlignment="1" applyProtection="1">
      <alignment horizontal="right" vertical="center"/>
    </xf>
    <xf numFmtId="164" fontId="7" fillId="2" borderId="5" xfId="2" applyFont="1" applyFill="1" applyBorder="1" applyAlignment="1" applyProtection="1">
      <alignment horizontal="left" vertical="center"/>
      <protection locked="0"/>
    </xf>
    <xf numFmtId="0" fontId="7" fillId="0" borderId="5" xfId="18" quotePrefix="1" applyFont="1" applyBorder="1" applyAlignment="1" applyProtection="1">
      <alignment horizontal="right" vertical="center"/>
    </xf>
    <xf numFmtId="0" fontId="7" fillId="0" borderId="4" xfId="19" applyFont="1" applyFill="1" applyBorder="1" applyAlignment="1">
      <alignment vertical="center"/>
    </xf>
    <xf numFmtId="2" fontId="7" fillId="0" borderId="0" xfId="19" applyNumberFormat="1" applyFont="1" applyFill="1" applyBorder="1" applyAlignment="1">
      <alignment horizontal="center" vertical="center"/>
    </xf>
    <xf numFmtId="2" fontId="7" fillId="0" borderId="0" xfId="19" applyNumberFormat="1" applyFont="1" applyBorder="1" applyAlignment="1">
      <alignment horizontal="center" vertical="center"/>
    </xf>
    <xf numFmtId="164" fontId="8" fillId="2" borderId="0" xfId="2" quotePrefix="1" applyNumberFormat="1" applyFont="1" applyFill="1" applyBorder="1" applyAlignment="1" applyProtection="1">
      <alignment horizontal="center" vertical="center"/>
    </xf>
    <xf numFmtId="0" fontId="7" fillId="0" borderId="1" xfId="19" applyFont="1" applyFill="1" applyBorder="1" applyAlignment="1">
      <alignment vertical="center"/>
    </xf>
    <xf numFmtId="2" fontId="7" fillId="0" borderId="53" xfId="19" applyNumberFormat="1" applyFont="1" applyFill="1" applyBorder="1" applyAlignment="1">
      <alignment horizontal="center" vertical="center"/>
    </xf>
    <xf numFmtId="2" fontId="7" fillId="0" borderId="54" xfId="19" applyNumberFormat="1" applyFont="1" applyBorder="1" applyAlignment="1">
      <alignment horizontal="center" vertical="center"/>
    </xf>
    <xf numFmtId="164" fontId="8" fillId="2" borderId="55" xfId="2" quotePrefix="1" applyNumberFormat="1" applyFont="1" applyFill="1" applyBorder="1" applyAlignment="1" applyProtection="1">
      <alignment horizontal="center" vertical="center"/>
    </xf>
    <xf numFmtId="2" fontId="7" fillId="0" borderId="22" xfId="19" applyNumberFormat="1" applyFont="1" applyBorder="1" applyAlignment="1">
      <alignment horizontal="center" vertical="center"/>
    </xf>
    <xf numFmtId="2" fontId="7" fillId="0" borderId="14" xfId="19" applyNumberFormat="1" applyFont="1" applyBorder="1" applyAlignment="1">
      <alignment horizontal="center" vertical="center"/>
    </xf>
    <xf numFmtId="0" fontId="7" fillId="0" borderId="56" xfId="19" applyFont="1" applyFill="1" applyBorder="1" applyAlignment="1">
      <alignment horizontal="left" vertical="center"/>
    </xf>
    <xf numFmtId="2" fontId="7" fillId="0" borderId="15" xfId="19" applyNumberFormat="1" applyFont="1" applyFill="1" applyBorder="1" applyAlignment="1">
      <alignment horizontal="center" vertical="center"/>
    </xf>
    <xf numFmtId="2" fontId="7" fillId="0" borderId="10" xfId="19" applyNumberFormat="1" applyFont="1" applyBorder="1" applyAlignment="1">
      <alignment horizontal="center" vertical="center"/>
    </xf>
    <xf numFmtId="0" fontId="7" fillId="0" borderId="57" xfId="19" applyFont="1" applyFill="1" applyBorder="1" applyAlignment="1">
      <alignment horizontal="left" vertical="center"/>
    </xf>
    <xf numFmtId="0" fontId="7" fillId="0" borderId="57" xfId="19" applyFont="1" applyBorder="1" applyAlignment="1">
      <alignment horizontal="left" vertical="center"/>
    </xf>
    <xf numFmtId="164" fontId="8" fillId="3" borderId="58" xfId="2" applyNumberFormat="1" applyFont="1" applyFill="1" applyBorder="1" applyAlignment="1" applyProtection="1">
      <alignment horizontal="center" vertical="center"/>
    </xf>
    <xf numFmtId="164" fontId="8" fillId="3" borderId="59" xfId="2" applyNumberFormat="1" applyFont="1" applyFill="1" applyBorder="1" applyAlignment="1" applyProtection="1">
      <alignment horizontal="center" vertical="center"/>
    </xf>
    <xf numFmtId="164" fontId="7" fillId="2" borderId="60" xfId="2" applyFont="1" applyFill="1" applyBorder="1" applyAlignment="1" applyProtection="1">
      <alignment horizontal="center" vertical="center"/>
    </xf>
    <xf numFmtId="164" fontId="7" fillId="2" borderId="44" xfId="2" applyFont="1" applyFill="1" applyBorder="1" applyAlignment="1" applyProtection="1">
      <alignment horizontal="left" vertical="center"/>
    </xf>
    <xf numFmtId="164" fontId="7" fillId="2" borderId="43" xfId="2" applyFont="1" applyFill="1" applyBorder="1" applyAlignment="1" applyProtection="1">
      <alignment horizontal="left" vertical="center"/>
    </xf>
    <xf numFmtId="0" fontId="7" fillId="0" borderId="42" xfId="19" applyFont="1" applyFill="1" applyBorder="1" applyAlignment="1">
      <alignment vertical="center"/>
    </xf>
    <xf numFmtId="0" fontId="7" fillId="0" borderId="0" xfId="19" applyFont="1" applyBorder="1" applyAlignment="1">
      <alignment vertical="center"/>
    </xf>
    <xf numFmtId="0" fontId="7" fillId="0" borderId="0" xfId="19" applyFont="1" applyFill="1" applyBorder="1" applyAlignment="1">
      <alignment horizontal="left" vertical="center"/>
    </xf>
    <xf numFmtId="164" fontId="8" fillId="2" borderId="0" xfId="2" quotePrefix="1" applyNumberFormat="1" applyFont="1" applyFill="1" applyBorder="1" applyAlignment="1" applyProtection="1">
      <alignment horizontal="left" vertical="center"/>
    </xf>
    <xf numFmtId="0" fontId="7" fillId="0" borderId="2" xfId="19" applyFont="1" applyFill="1" applyBorder="1" applyAlignment="1">
      <alignment horizontal="center" vertical="center"/>
    </xf>
    <xf numFmtId="2" fontId="7" fillId="0" borderId="0" xfId="19" applyNumberFormat="1" applyFont="1" applyFill="1" applyBorder="1" applyAlignment="1">
      <alignment horizontal="left" vertical="center"/>
    </xf>
    <xf numFmtId="2" fontId="12" fillId="0" borderId="2" xfId="19" quotePrefix="1" applyNumberFormat="1" applyFont="1" applyBorder="1" applyAlignment="1" applyProtection="1">
      <alignment horizontal="left" vertical="center"/>
      <protection locked="0"/>
    </xf>
    <xf numFmtId="2" fontId="12" fillId="0" borderId="0" xfId="19" quotePrefix="1" applyNumberFormat="1" applyFont="1" applyBorder="1" applyAlignment="1" applyProtection="1">
      <alignment horizontal="left" vertical="center"/>
      <protection locked="0"/>
    </xf>
    <xf numFmtId="2" fontId="7" fillId="0" borderId="0" xfId="19" applyNumberFormat="1" applyFont="1" applyBorder="1" applyAlignment="1" applyProtection="1"/>
    <xf numFmtId="164" fontId="12" fillId="2" borderId="2" xfId="2" applyFont="1" applyFill="1" applyBorder="1" applyAlignment="1" applyProtection="1">
      <alignment horizontal="left" vertical="center"/>
      <protection locked="0"/>
    </xf>
    <xf numFmtId="0" fontId="12" fillId="0" borderId="0" xfId="19" quotePrefix="1" applyFont="1" applyFill="1" applyBorder="1" applyAlignment="1">
      <alignment horizontal="left" vertical="center"/>
    </xf>
    <xf numFmtId="2" fontId="12" fillId="2" borderId="0" xfId="19" applyNumberFormat="1" applyFont="1" applyFill="1" applyBorder="1" applyAlignment="1" applyProtection="1">
      <alignment horizontal="left" vertical="center"/>
      <protection locked="0"/>
    </xf>
    <xf numFmtId="0" fontId="7" fillId="0" borderId="0" xfId="19" applyFont="1" applyFill="1" applyBorder="1" applyAlignment="1"/>
    <xf numFmtId="169" fontId="7" fillId="0" borderId="0" xfId="19" applyNumberFormat="1" applyFont="1" applyFill="1" applyBorder="1" applyAlignment="1">
      <alignment horizontal="center" vertical="center"/>
    </xf>
    <xf numFmtId="0" fontId="7" fillId="0" borderId="53" xfId="19" applyFont="1" applyFill="1" applyBorder="1" applyAlignment="1">
      <alignment vertical="center"/>
    </xf>
    <xf numFmtId="0" fontId="7" fillId="0" borderId="54" xfId="19" applyFont="1" applyFill="1" applyBorder="1" applyAlignment="1">
      <alignment horizontal="left" vertical="center"/>
    </xf>
    <xf numFmtId="4" fontId="7" fillId="0" borderId="54" xfId="19" applyNumberFormat="1" applyFont="1" applyFill="1" applyBorder="1" applyAlignment="1">
      <alignment horizontal="left" vertical="center"/>
    </xf>
    <xf numFmtId="0" fontId="7" fillId="0" borderId="55" xfId="19" applyFont="1" applyFill="1" applyBorder="1" applyAlignment="1">
      <alignment vertical="center"/>
    </xf>
    <xf numFmtId="0" fontId="7" fillId="0" borderId="61" xfId="19" applyFont="1" applyFill="1" applyBorder="1" applyAlignment="1">
      <alignment vertical="center"/>
    </xf>
    <xf numFmtId="0" fontId="7" fillId="0" borderId="62" xfId="19" applyFont="1" applyFill="1" applyBorder="1" applyAlignment="1">
      <alignment horizontal="left" vertical="center"/>
    </xf>
    <xf numFmtId="170" fontId="7" fillId="0" borderId="10" xfId="19" applyNumberFormat="1" applyFont="1" applyFill="1" applyBorder="1" applyAlignment="1">
      <alignment horizontal="left" vertical="center"/>
    </xf>
    <xf numFmtId="0" fontId="7" fillId="0" borderId="57" xfId="19" applyFont="1" applyFill="1" applyBorder="1" applyAlignment="1">
      <alignment vertical="center"/>
    </xf>
    <xf numFmtId="0" fontId="7" fillId="0" borderId="15" xfId="19" applyFont="1" applyFill="1" applyBorder="1" applyAlignment="1">
      <alignment vertical="center"/>
    </xf>
    <xf numFmtId="0" fontId="7" fillId="0" borderId="10" xfId="19" applyFont="1" applyFill="1" applyBorder="1" applyAlignment="1">
      <alignment horizontal="left" vertical="center"/>
    </xf>
    <xf numFmtId="1" fontId="7" fillId="0" borderId="10" xfId="19" applyNumberFormat="1" applyFont="1" applyFill="1" applyBorder="1" applyAlignment="1">
      <alignment horizontal="left" vertical="center"/>
    </xf>
    <xf numFmtId="3" fontId="12" fillId="2" borderId="0" xfId="19" applyNumberFormat="1" applyFont="1" applyFill="1" applyBorder="1" applyAlignment="1" applyProtection="1">
      <alignment horizontal="left" vertical="center"/>
      <protection locked="0"/>
    </xf>
    <xf numFmtId="170" fontId="7" fillId="0" borderId="63" xfId="19" applyNumberFormat="1" applyFont="1" applyFill="1" applyBorder="1" applyAlignment="1">
      <alignment horizontal="left" vertical="center"/>
    </xf>
    <xf numFmtId="0" fontId="7" fillId="0" borderId="63" xfId="19" applyNumberFormat="1" applyFont="1" applyFill="1" applyBorder="1" applyAlignment="1">
      <alignment horizontal="left" vertical="center"/>
    </xf>
    <xf numFmtId="0" fontId="7" fillId="0" borderId="64" xfId="19" applyFont="1" applyFill="1" applyBorder="1" applyAlignment="1">
      <alignment vertical="center"/>
    </xf>
    <xf numFmtId="2" fontId="12" fillId="0" borderId="0" xfId="19" applyNumberFormat="1" applyFont="1" applyBorder="1" applyAlignment="1" applyProtection="1">
      <alignment horizontal="left" vertical="center"/>
      <protection locked="0"/>
    </xf>
    <xf numFmtId="0" fontId="12" fillId="2" borderId="0" xfId="19" applyFont="1" applyFill="1" applyBorder="1" applyAlignment="1" applyProtection="1">
      <alignment horizontal="left" vertical="center"/>
      <protection locked="0"/>
    </xf>
    <xf numFmtId="168" fontId="12" fillId="2" borderId="0" xfId="19" applyNumberFormat="1" applyFont="1" applyFill="1" applyBorder="1" applyAlignment="1" applyProtection="1">
      <alignment horizontal="left" vertical="center"/>
      <protection locked="0"/>
    </xf>
    <xf numFmtId="2" fontId="7" fillId="0" borderId="63" xfId="19" applyNumberFormat="1" applyFont="1" applyFill="1" applyBorder="1" applyAlignment="1">
      <alignment horizontal="left" vertical="center"/>
    </xf>
    <xf numFmtId="0" fontId="7" fillId="0" borderId="65" xfId="19" applyFont="1" applyFill="1" applyBorder="1" applyAlignment="1">
      <alignment vertical="center"/>
    </xf>
    <xf numFmtId="0" fontId="7" fillId="0" borderId="13" xfId="19" applyFont="1" applyFill="1" applyBorder="1" applyAlignment="1">
      <alignment horizontal="left" vertical="center"/>
    </xf>
    <xf numFmtId="0" fontId="7" fillId="0" borderId="66" xfId="19" applyFont="1" applyFill="1" applyBorder="1" applyAlignment="1">
      <alignment vertical="center"/>
    </xf>
    <xf numFmtId="0" fontId="9" fillId="0" borderId="67" xfId="19" applyFont="1" applyFill="1" applyBorder="1" applyAlignment="1">
      <alignment vertical="center"/>
    </xf>
    <xf numFmtId="0" fontId="9" fillId="0" borderId="68" xfId="19" applyFont="1" applyFill="1" applyBorder="1" applyAlignment="1">
      <alignment vertical="center"/>
    </xf>
    <xf numFmtId="0" fontId="9" fillId="0" borderId="69" xfId="19" applyFont="1" applyFill="1" applyBorder="1" applyAlignment="1">
      <alignment vertical="center"/>
    </xf>
    <xf numFmtId="0" fontId="11" fillId="0" borderId="0" xfId="19" applyFont="1" applyFill="1" applyAlignment="1">
      <alignment horizontal="left" vertical="center"/>
    </xf>
    <xf numFmtId="0" fontId="11" fillId="2" borderId="0" xfId="19" applyFont="1" applyFill="1" applyAlignment="1">
      <alignment horizontal="left" vertical="center"/>
    </xf>
    <xf numFmtId="0" fontId="7" fillId="0" borderId="70" xfId="19" applyFont="1" applyFill="1" applyBorder="1" applyAlignment="1">
      <alignment vertical="center"/>
    </xf>
    <xf numFmtId="0" fontId="8" fillId="0" borderId="74" xfId="19" applyFont="1" applyFill="1" applyBorder="1" applyAlignment="1">
      <alignment horizontal="center" vertical="center"/>
    </xf>
    <xf numFmtId="0" fontId="7" fillId="0" borderId="43" xfId="19" applyFont="1" applyFill="1" applyBorder="1" applyAlignment="1">
      <alignment vertical="center"/>
    </xf>
    <xf numFmtId="0" fontId="7" fillId="0" borderId="43" xfId="19" applyFont="1" applyFill="1" applyBorder="1" applyAlignment="1">
      <alignment horizontal="center" vertical="center"/>
    </xf>
    <xf numFmtId="164" fontId="7" fillId="2" borderId="42" xfId="2" applyFont="1" applyFill="1" applyBorder="1" applyAlignment="1" applyProtection="1">
      <alignment horizontal="left" vertical="center"/>
    </xf>
    <xf numFmtId="169" fontId="7" fillId="0" borderId="75" xfId="19" applyNumberFormat="1" applyFont="1" applyFill="1" applyBorder="1" applyAlignment="1">
      <alignment horizontal="center" vertical="center"/>
    </xf>
    <xf numFmtId="169" fontId="7" fillId="0" borderId="76" xfId="19" applyNumberFormat="1" applyFont="1" applyFill="1" applyBorder="1" applyAlignment="1">
      <alignment horizontal="center" vertical="center"/>
    </xf>
    <xf numFmtId="0" fontId="7" fillId="0" borderId="77" xfId="19" applyFont="1" applyFill="1" applyBorder="1" applyAlignment="1">
      <alignment vertical="center"/>
    </xf>
    <xf numFmtId="2" fontId="7" fillId="0" borderId="54" xfId="19" applyNumberFormat="1" applyFont="1" applyFill="1" applyBorder="1" applyAlignment="1">
      <alignment horizontal="left" vertical="center"/>
    </xf>
    <xf numFmtId="169" fontId="7" fillId="0" borderId="22" xfId="19" applyNumberFormat="1" applyFont="1" applyFill="1" applyBorder="1" applyAlignment="1">
      <alignment horizontal="center" vertical="center"/>
    </xf>
    <xf numFmtId="169" fontId="7" fillId="0" borderId="14" xfId="19" applyNumberFormat="1" applyFont="1" applyFill="1" applyBorder="1" applyAlignment="1">
      <alignment horizontal="center" vertical="center"/>
    </xf>
    <xf numFmtId="0" fontId="7" fillId="0" borderId="56" xfId="19" applyFont="1" applyFill="1" applyBorder="1" applyAlignment="1">
      <alignment vertical="center"/>
    </xf>
    <xf numFmtId="169" fontId="7" fillId="0" borderId="78" xfId="19" applyNumberFormat="1" applyFont="1" applyFill="1" applyBorder="1" applyAlignment="1">
      <alignment horizontal="center" vertical="center"/>
    </xf>
    <xf numFmtId="169" fontId="7" fillId="0" borderId="63" xfId="19" applyNumberFormat="1" applyFont="1" applyFill="1" applyBorder="1" applyAlignment="1">
      <alignment horizontal="center" vertical="center"/>
    </xf>
    <xf numFmtId="0" fontId="12" fillId="0" borderId="0" xfId="19" applyFont="1" applyFill="1" applyBorder="1" applyAlignment="1">
      <alignment horizontal="left" vertical="center"/>
    </xf>
    <xf numFmtId="0" fontId="9" fillId="0" borderId="67" xfId="19" applyFont="1" applyFill="1" applyBorder="1" applyAlignment="1">
      <alignment horizontal="center" vertical="center"/>
    </xf>
    <xf numFmtId="0" fontId="9" fillId="0" borderId="68" xfId="19" applyFont="1" applyFill="1" applyBorder="1" applyAlignment="1">
      <alignment horizontal="center" vertical="center"/>
    </xf>
    <xf numFmtId="0" fontId="7" fillId="0" borderId="10" xfId="19" applyFont="1" applyFill="1" applyBorder="1" applyAlignment="1">
      <alignment vertical="center"/>
    </xf>
    <xf numFmtId="0" fontId="11" fillId="0" borderId="0" xfId="19" applyFont="1" applyFill="1" applyBorder="1" applyAlignment="1">
      <alignment horizontal="left" vertical="center"/>
    </xf>
    <xf numFmtId="2" fontId="7" fillId="0" borderId="10" xfId="19" applyNumberFormat="1" applyFont="1" applyFill="1" applyBorder="1" applyAlignment="1">
      <alignment horizontal="left" vertical="center"/>
    </xf>
    <xf numFmtId="0" fontId="13" fillId="0" borderId="0" xfId="19" applyFont="1" applyFill="1" applyBorder="1" applyAlignment="1">
      <alignment horizontal="center" vertical="center"/>
    </xf>
    <xf numFmtId="0" fontId="15" fillId="0" borderId="0" xfId="19" applyFont="1" applyFill="1" applyBorder="1" applyAlignment="1">
      <alignment horizontal="center" vertical="center"/>
    </xf>
    <xf numFmtId="0" fontId="13" fillId="0" borderId="0" xfId="19" applyFont="1" applyFill="1" applyBorder="1" applyAlignment="1">
      <alignment horizontal="left" vertical="center"/>
    </xf>
    <xf numFmtId="0" fontId="7" fillId="0" borderId="82" xfId="19" applyFont="1" applyFill="1" applyBorder="1" applyAlignment="1">
      <alignment vertical="center"/>
    </xf>
    <xf numFmtId="0" fontId="7" fillId="0" borderId="83" xfId="19" applyFont="1" applyFill="1" applyBorder="1" applyAlignment="1">
      <alignment vertical="center"/>
    </xf>
    <xf numFmtId="3" fontId="7" fillId="0" borderId="63" xfId="19" applyNumberFormat="1" applyFont="1" applyFill="1" applyBorder="1" applyAlignment="1">
      <alignment horizontal="left" vertical="center"/>
    </xf>
    <xf numFmtId="0" fontId="7" fillId="0" borderId="25" xfId="19" applyFont="1" applyFill="1" applyBorder="1" applyAlignment="1">
      <alignment vertical="center"/>
    </xf>
    <xf numFmtId="0" fontId="7" fillId="0" borderId="26" xfId="19" applyFont="1" applyFill="1" applyBorder="1" applyAlignment="1">
      <alignment vertical="center"/>
    </xf>
    <xf numFmtId="0" fontId="7" fillId="0" borderId="84" xfId="19" applyFont="1" applyFill="1" applyBorder="1" applyAlignment="1">
      <alignment vertical="center"/>
    </xf>
    <xf numFmtId="0" fontId="7" fillId="0" borderId="85" xfId="19" applyFont="1" applyFill="1" applyBorder="1" applyAlignment="1">
      <alignment vertical="center"/>
    </xf>
    <xf numFmtId="0" fontId="7" fillId="0" borderId="0" xfId="19" applyFont="1" applyBorder="1" applyAlignment="1">
      <alignment horizontal="center" vertical="center"/>
    </xf>
    <xf numFmtId="0" fontId="7" fillId="0" borderId="0" xfId="19" applyFont="1" applyBorder="1" applyAlignment="1">
      <alignment horizontal="left" vertical="center"/>
    </xf>
    <xf numFmtId="164" fontId="2" fillId="2" borderId="2" xfId="2" applyFont="1" applyFill="1" applyBorder="1" applyAlignment="1" applyProtection="1">
      <alignment vertical="center"/>
    </xf>
    <xf numFmtId="0" fontId="7" fillId="0" borderId="0" xfId="19" applyFont="1" applyFill="1" applyAlignment="1">
      <alignment horizontal="left" vertical="center"/>
    </xf>
    <xf numFmtId="0" fontId="7" fillId="0" borderId="75" xfId="19" applyFont="1" applyFill="1" applyBorder="1" applyAlignment="1">
      <alignment horizontal="left" vertical="center"/>
    </xf>
    <xf numFmtId="0" fontId="7" fillId="0" borderId="76" xfId="19" applyFont="1" applyFill="1" applyBorder="1" applyAlignment="1">
      <alignment horizontal="center" vertical="center"/>
    </xf>
    <xf numFmtId="0" fontId="7" fillId="0" borderId="78" xfId="19" applyFont="1" applyFill="1" applyBorder="1" applyAlignment="1">
      <alignment horizontal="left" vertical="center"/>
    </xf>
    <xf numFmtId="0" fontId="7" fillId="0" borderId="12" xfId="19" applyFont="1" applyFill="1" applyBorder="1" applyAlignment="1">
      <alignment horizontal="center" vertical="center"/>
    </xf>
    <xf numFmtId="168" fontId="7" fillId="0" borderId="12" xfId="19" applyNumberFormat="1" applyFont="1" applyFill="1" applyBorder="1" applyAlignment="1">
      <alignment horizontal="center" vertical="center"/>
    </xf>
    <xf numFmtId="164" fontId="8" fillId="2" borderId="0" xfId="2" applyFont="1" applyFill="1" applyBorder="1" applyAlignment="1" applyProtection="1">
      <alignment horizontal="center" vertical="center"/>
    </xf>
    <xf numFmtId="0" fontId="15" fillId="0" borderId="0" xfId="19" applyFont="1" applyFill="1" applyBorder="1" applyAlignment="1">
      <alignment horizontal="left" vertical="center"/>
    </xf>
    <xf numFmtId="0" fontId="9" fillId="0" borderId="67" xfId="19" applyFont="1" applyFill="1" applyBorder="1" applyAlignment="1">
      <alignment horizontal="left" vertical="center"/>
    </xf>
    <xf numFmtId="0" fontId="7" fillId="0" borderId="75" xfId="19" applyFont="1" applyFill="1" applyBorder="1" applyAlignment="1">
      <alignment horizontal="center" vertical="center"/>
    </xf>
    <xf numFmtId="0" fontId="7" fillId="0" borderId="77" xfId="19" applyFont="1" applyBorder="1" applyAlignment="1">
      <alignment horizontal="left" vertical="center"/>
    </xf>
    <xf numFmtId="169" fontId="7" fillId="0" borderId="10" xfId="19" applyNumberFormat="1" applyFont="1" applyFill="1" applyBorder="1" applyAlignment="1">
      <alignment horizontal="left" vertical="center"/>
    </xf>
    <xf numFmtId="0" fontId="7" fillId="0" borderId="15" xfId="19" applyFont="1" applyFill="1" applyBorder="1" applyAlignment="1">
      <alignment horizontal="center" vertical="center"/>
    </xf>
    <xf numFmtId="0" fontId="7" fillId="0" borderId="10" xfId="19" applyFont="1" applyFill="1" applyBorder="1" applyAlignment="1">
      <alignment horizontal="center" vertical="center"/>
    </xf>
    <xf numFmtId="0" fontId="7" fillId="0" borderId="78" xfId="19" applyFont="1" applyFill="1" applyBorder="1" applyAlignment="1">
      <alignment vertical="center"/>
    </xf>
    <xf numFmtId="170" fontId="7" fillId="0" borderId="12" xfId="19" applyNumberFormat="1" applyFont="1" applyFill="1" applyBorder="1" applyAlignment="1">
      <alignment horizontal="left" vertical="center"/>
    </xf>
    <xf numFmtId="3" fontId="7" fillId="0" borderId="12" xfId="19" applyNumberFormat="1" applyFont="1" applyFill="1" applyBorder="1" applyAlignment="1">
      <alignment horizontal="left" vertical="center"/>
    </xf>
    <xf numFmtId="0" fontId="9" fillId="0" borderId="0" xfId="19" applyFont="1" applyBorder="1" applyAlignment="1">
      <alignment horizontal="left" vertical="center"/>
    </xf>
    <xf numFmtId="170" fontId="7" fillId="0" borderId="78" xfId="19" applyNumberFormat="1" applyFont="1" applyFill="1" applyBorder="1" applyAlignment="1">
      <alignment horizontal="center" vertical="center"/>
    </xf>
    <xf numFmtId="0" fontId="7" fillId="0" borderId="64" xfId="19" applyFont="1" applyFill="1" applyBorder="1" applyAlignment="1">
      <alignment horizontal="left" vertical="center"/>
    </xf>
    <xf numFmtId="0" fontId="7" fillId="0" borderId="22" xfId="19" applyFont="1" applyFill="1" applyBorder="1" applyAlignment="1">
      <alignment horizontal="center" vertical="center"/>
    </xf>
    <xf numFmtId="0" fontId="7" fillId="0" borderId="14" xfId="19" applyFont="1" applyFill="1" applyBorder="1" applyAlignment="1">
      <alignment horizontal="center" vertical="center"/>
    </xf>
    <xf numFmtId="0" fontId="7" fillId="0" borderId="56" xfId="19" applyFont="1" applyBorder="1" applyAlignment="1">
      <alignment horizontal="left" vertical="center"/>
    </xf>
    <xf numFmtId="170" fontId="7" fillId="0" borderId="15" xfId="19" applyNumberFormat="1" applyFont="1" applyFill="1" applyBorder="1" applyAlignment="1">
      <alignment horizontal="center" vertical="center"/>
    </xf>
    <xf numFmtId="0" fontId="9" fillId="0" borderId="57" xfId="19" applyFont="1" applyBorder="1" applyAlignment="1">
      <alignment horizontal="left" vertical="center"/>
    </xf>
    <xf numFmtId="0" fontId="7" fillId="0" borderId="91" xfId="19" applyFont="1" applyFill="1" applyBorder="1" applyAlignment="1">
      <alignment vertical="center"/>
    </xf>
    <xf numFmtId="0" fontId="7" fillId="0" borderId="10" xfId="19" applyFont="1" applyBorder="1" applyAlignment="1">
      <alignment horizontal="center" vertical="center"/>
    </xf>
    <xf numFmtId="0" fontId="9" fillId="0" borderId="0" xfId="19" applyFont="1" applyBorder="1" applyAlignment="1">
      <alignment horizontal="center" vertical="center"/>
    </xf>
    <xf numFmtId="0" fontId="9" fillId="0" borderId="0" xfId="19" applyFont="1" applyFill="1" applyBorder="1" applyAlignment="1">
      <alignment horizontal="center" vertical="center"/>
    </xf>
    <xf numFmtId="0" fontId="9" fillId="0" borderId="0" xfId="19" applyFont="1" applyFill="1" applyBorder="1" applyAlignment="1">
      <alignment horizontal="left" vertical="center"/>
    </xf>
    <xf numFmtId="164" fontId="8" fillId="2" borderId="5" xfId="16" applyFont="1" applyFill="1" applyBorder="1" applyAlignment="1" applyProtection="1">
      <alignment horizontal="left" vertical="center"/>
    </xf>
    <xf numFmtId="0" fontId="9" fillId="0" borderId="78" xfId="19" applyFont="1" applyBorder="1" applyAlignment="1">
      <alignment horizontal="center" vertical="center"/>
    </xf>
    <xf numFmtId="0" fontId="9" fillId="0" borderId="12" xfId="19" applyFont="1" applyBorder="1" applyAlignment="1">
      <alignment horizontal="center" vertical="center"/>
    </xf>
    <xf numFmtId="0" fontId="9" fillId="0" borderId="12" xfId="19" applyFont="1" applyFill="1" applyBorder="1" applyAlignment="1">
      <alignment horizontal="center" vertical="center"/>
    </xf>
    <xf numFmtId="0" fontId="9" fillId="0" borderId="64" xfId="19" applyFont="1" applyFill="1" applyBorder="1" applyAlignment="1">
      <alignment horizontal="left" vertical="center"/>
    </xf>
    <xf numFmtId="0" fontId="7" fillId="0" borderId="0" xfId="17" applyFont="1" applyBorder="1" applyAlignment="1" applyProtection="1">
      <alignment horizontal="left" vertical="center"/>
      <protection locked="0"/>
    </xf>
    <xf numFmtId="0" fontId="7" fillId="0" borderId="0" xfId="17" quotePrefix="1" applyFont="1" applyBorder="1" applyAlignment="1" applyProtection="1">
      <alignment horizontal="left" vertical="center"/>
      <protection locked="0"/>
    </xf>
    <xf numFmtId="0" fontId="7" fillId="2" borderId="0" xfId="17" quotePrefix="1" applyFont="1" applyFill="1" applyBorder="1" applyAlignment="1" applyProtection="1">
      <alignment horizontal="left" vertical="center"/>
      <protection locked="0"/>
    </xf>
    <xf numFmtId="0" fontId="7" fillId="2" borderId="0" xfId="17" applyFont="1" applyFill="1" applyBorder="1" applyAlignment="1" applyProtection="1">
      <alignment horizontal="left" vertical="center"/>
      <protection locked="0"/>
    </xf>
    <xf numFmtId="0" fontId="12" fillId="0" borderId="88" xfId="19" applyFont="1" applyBorder="1" applyAlignment="1" applyProtection="1">
      <alignment horizontal="center" vertical="center"/>
      <protection locked="0"/>
    </xf>
    <xf numFmtId="0" fontId="12" fillId="0" borderId="0" xfId="19" applyFont="1" applyFill="1" applyBorder="1" applyAlignment="1" applyProtection="1">
      <alignment horizontal="left" vertical="center"/>
      <protection locked="0"/>
    </xf>
    <xf numFmtId="0" fontId="12" fillId="0" borderId="0" xfId="19" quotePrefix="1" applyFont="1" applyFill="1" applyBorder="1" applyAlignment="1" applyProtection="1">
      <alignment horizontal="left" vertical="center"/>
      <protection locked="0"/>
    </xf>
    <xf numFmtId="170" fontId="12" fillId="2" borderId="0" xfId="19" applyNumberFormat="1" applyFont="1" applyFill="1" applyAlignment="1" applyProtection="1">
      <alignment horizontal="left" vertical="center"/>
      <protection locked="0"/>
    </xf>
    <xf numFmtId="0" fontId="12" fillId="0" borderId="0" xfId="19" applyFont="1" applyFill="1" applyAlignment="1" applyProtection="1">
      <alignment vertical="center"/>
      <protection locked="0"/>
    </xf>
    <xf numFmtId="0" fontId="7" fillId="0" borderId="5" xfId="18" quotePrefix="1" applyFont="1" applyBorder="1" applyAlignment="1" applyProtection="1">
      <alignment horizontal="left" vertical="center"/>
      <protection locked="0"/>
    </xf>
    <xf numFmtId="2" fontId="7" fillId="0" borderId="0" xfId="19" applyNumberFormat="1" applyFont="1" applyFill="1" applyBorder="1" applyAlignment="1" applyProtection="1">
      <alignment horizontal="left" vertical="center"/>
    </xf>
    <xf numFmtId="0" fontId="12" fillId="0" borderId="89" xfId="19" applyFont="1" applyFill="1" applyBorder="1" applyAlignment="1" applyProtection="1">
      <alignment horizontal="center" vertical="center"/>
      <protection locked="0"/>
    </xf>
    <xf numFmtId="0" fontId="12" fillId="0" borderId="89" xfId="19" applyFont="1" applyBorder="1" applyAlignment="1" applyProtection="1">
      <alignment horizontal="center" vertical="center"/>
      <protection locked="0"/>
    </xf>
    <xf numFmtId="0" fontId="12" fillId="0" borderId="88" xfId="19" applyFont="1" applyFill="1" applyBorder="1" applyAlignment="1" applyProtection="1">
      <alignment horizontal="center" vertical="center"/>
      <protection locked="0"/>
    </xf>
    <xf numFmtId="2" fontId="12" fillId="2" borderId="0" xfId="19" applyNumberFormat="1" applyFont="1" applyFill="1" applyAlignment="1" applyProtection="1">
      <alignment horizontal="left" vertical="center"/>
      <protection locked="0"/>
    </xf>
    <xf numFmtId="164" fontId="2" fillId="2" borderId="7" xfId="2" applyFont="1" applyFill="1" applyBorder="1" applyAlignment="1" applyProtection="1">
      <alignment horizontal="center" vertical="center"/>
    </xf>
    <xf numFmtId="164" fontId="2" fillId="2" borderId="8" xfId="2" applyFont="1" applyFill="1" applyBorder="1" applyAlignment="1" applyProtection="1">
      <alignment horizontal="center" vertical="center"/>
    </xf>
    <xf numFmtId="164" fontId="2" fillId="2" borderId="9" xfId="2" applyFont="1" applyFill="1" applyBorder="1" applyAlignment="1" applyProtection="1">
      <alignment horizontal="center" vertical="center"/>
    </xf>
    <xf numFmtId="164" fontId="14" fillId="3" borderId="24" xfId="2" applyNumberFormat="1" applyFont="1" applyFill="1" applyBorder="1" applyAlignment="1" applyProtection="1">
      <alignment horizontal="center" vertical="center"/>
    </xf>
    <xf numFmtId="164" fontId="14" fillId="3" borderId="25" xfId="2" applyNumberFormat="1" applyFont="1" applyFill="1" applyBorder="1" applyAlignment="1" applyProtection="1">
      <alignment horizontal="center" vertical="center"/>
    </xf>
    <xf numFmtId="164" fontId="8" fillId="3" borderId="29" xfId="2" applyNumberFormat="1" applyFont="1" applyFill="1" applyBorder="1" applyAlignment="1" applyProtection="1">
      <alignment horizontal="center" vertical="center"/>
    </xf>
    <xf numFmtId="164" fontId="8" fillId="3" borderId="30" xfId="2" applyNumberFormat="1" applyFont="1" applyFill="1" applyBorder="1" applyAlignment="1" applyProtection="1">
      <alignment horizontal="center" vertical="center"/>
    </xf>
    <xf numFmtId="164" fontId="8" fillId="3" borderId="31" xfId="2" applyNumberFormat="1" applyFont="1" applyFill="1" applyBorder="1" applyAlignment="1" applyProtection="1">
      <alignment horizontal="center" vertical="center"/>
    </xf>
    <xf numFmtId="164" fontId="12" fillId="2" borderId="0" xfId="2" applyFont="1" applyFill="1" applyAlignment="1" applyProtection="1">
      <alignment horizontal="left" vertical="center"/>
      <protection locked="0"/>
    </xf>
    <xf numFmtId="164" fontId="12" fillId="2" borderId="0" xfId="2" applyFont="1" applyFill="1" applyBorder="1" applyAlignment="1" applyProtection="1">
      <alignment horizontal="left" vertical="center"/>
      <protection locked="0"/>
    </xf>
    <xf numFmtId="164" fontId="9" fillId="3" borderId="32" xfId="2" applyNumberFormat="1" applyFont="1" applyFill="1" applyBorder="1" applyAlignment="1" applyProtection="1">
      <alignment horizontal="center" vertical="center"/>
    </xf>
    <xf numFmtId="164" fontId="9" fillId="3" borderId="39" xfId="2" applyNumberFormat="1" applyFont="1" applyFill="1" applyBorder="1" applyAlignment="1" applyProtection="1">
      <alignment horizontal="center" vertical="center"/>
    </xf>
    <xf numFmtId="164" fontId="9" fillId="3" borderId="27" xfId="2" applyNumberFormat="1" applyFont="1" applyFill="1" applyBorder="1" applyAlignment="1" applyProtection="1">
      <alignment horizontal="center" vertical="center"/>
    </xf>
    <xf numFmtId="164" fontId="9" fillId="3" borderId="33" xfId="2" applyNumberFormat="1" applyFont="1" applyFill="1" applyBorder="1" applyAlignment="1" applyProtection="1">
      <alignment horizontal="center" vertical="center"/>
    </xf>
    <xf numFmtId="164" fontId="8" fillId="2" borderId="42" xfId="2" quotePrefix="1" applyFont="1" applyFill="1" applyBorder="1" applyAlignment="1" applyProtection="1">
      <alignment horizontal="center" vertical="center"/>
    </xf>
    <xf numFmtId="164" fontId="8" fillId="2" borderId="43" xfId="2" quotePrefix="1" applyFont="1" applyFill="1" applyBorder="1" applyAlignment="1" applyProtection="1">
      <alignment horizontal="center" vertical="center"/>
    </xf>
    <xf numFmtId="164" fontId="8" fillId="2" borderId="44" xfId="2" quotePrefix="1" applyFont="1" applyFill="1" applyBorder="1" applyAlignment="1" applyProtection="1">
      <alignment horizontal="center" vertical="center"/>
    </xf>
    <xf numFmtId="164" fontId="8" fillId="2" borderId="47" xfId="2" applyFont="1" applyFill="1" applyBorder="1" applyAlignment="1" applyProtection="1">
      <alignment horizontal="center" vertical="center"/>
    </xf>
    <xf numFmtId="164" fontId="8" fillId="2" borderId="48" xfId="2" applyFont="1" applyFill="1" applyBorder="1" applyAlignment="1" applyProtection="1">
      <alignment horizontal="center" vertical="center"/>
    </xf>
    <xf numFmtId="164" fontId="7" fillId="2" borderId="5" xfId="2" applyFont="1" applyFill="1" applyBorder="1" applyAlignment="1" applyProtection="1">
      <alignment horizontal="center" vertical="center"/>
      <protection locked="0"/>
    </xf>
    <xf numFmtId="164" fontId="14" fillId="3" borderId="26" xfId="2" applyNumberFormat="1" applyFont="1" applyFill="1" applyBorder="1" applyAlignment="1" applyProtection="1">
      <alignment horizontal="center" vertical="center"/>
    </xf>
    <xf numFmtId="164" fontId="14" fillId="3" borderId="16" xfId="2" applyNumberFormat="1" applyFont="1" applyFill="1" applyBorder="1" applyAlignment="1" applyProtection="1">
      <alignment horizontal="center" vertical="center"/>
    </xf>
    <xf numFmtId="164" fontId="7" fillId="2" borderId="14" xfId="2" applyFont="1" applyFill="1" applyBorder="1" applyAlignment="1" applyProtection="1">
      <alignment horizontal="center" vertical="center"/>
    </xf>
    <xf numFmtId="164" fontId="7" fillId="2" borderId="52" xfId="2" applyFont="1" applyFill="1" applyBorder="1" applyAlignment="1" applyProtection="1">
      <alignment horizontal="center" vertical="center"/>
    </xf>
    <xf numFmtId="0" fontId="7" fillId="0" borderId="73" xfId="19" applyFont="1" applyFill="1" applyBorder="1" applyAlignment="1">
      <alignment horizontal="center" vertical="center"/>
    </xf>
    <xf numFmtId="0" fontId="7" fillId="0" borderId="72" xfId="19" applyFont="1" applyFill="1" applyBorder="1" applyAlignment="1">
      <alignment horizontal="center" vertical="center"/>
    </xf>
    <xf numFmtId="0" fontId="7" fillId="0" borderId="71" xfId="19" applyFont="1" applyFill="1" applyBorder="1" applyAlignment="1">
      <alignment horizontal="center" vertical="center"/>
    </xf>
    <xf numFmtId="0" fontId="8" fillId="0" borderId="81" xfId="19" applyFont="1" applyFill="1" applyBorder="1" applyAlignment="1">
      <alignment horizontal="center" vertical="center"/>
    </xf>
    <xf numFmtId="0" fontId="8" fillId="0" borderId="80" xfId="19" applyFont="1" applyFill="1" applyBorder="1" applyAlignment="1">
      <alignment horizontal="center" vertical="center"/>
    </xf>
    <xf numFmtId="0" fontId="8" fillId="0" borderId="79" xfId="19" applyFont="1" applyFill="1" applyBorder="1" applyAlignment="1">
      <alignment horizontal="center" vertical="center"/>
    </xf>
    <xf numFmtId="0" fontId="8" fillId="0" borderId="87" xfId="19" applyFont="1" applyFill="1" applyBorder="1" applyAlignment="1">
      <alignment horizontal="center" vertical="center"/>
    </xf>
    <xf numFmtId="0" fontId="8" fillId="0" borderId="86" xfId="19" applyFont="1" applyFill="1" applyBorder="1" applyAlignment="1">
      <alignment horizontal="center" vertical="center"/>
    </xf>
    <xf numFmtId="0" fontId="8" fillId="0" borderId="42" xfId="19" applyFont="1" applyFill="1" applyBorder="1" applyAlignment="1">
      <alignment horizontal="center" vertical="center"/>
    </xf>
    <xf numFmtId="0" fontId="8" fillId="0" borderId="43" xfId="19" applyFont="1" applyFill="1" applyBorder="1" applyAlignment="1">
      <alignment horizontal="center" vertical="center"/>
    </xf>
    <xf numFmtId="0" fontId="8" fillId="0" borderId="44" xfId="19" applyFont="1" applyFill="1" applyBorder="1" applyAlignment="1">
      <alignment horizontal="center" vertical="center"/>
    </xf>
    <xf numFmtId="0" fontId="12" fillId="0" borderId="0" xfId="19" applyFont="1" applyFill="1" applyBorder="1" applyAlignment="1" applyProtection="1">
      <alignment horizontal="left" vertical="center"/>
      <protection locked="0"/>
    </xf>
    <xf numFmtId="0" fontId="8" fillId="0" borderId="90" xfId="19" applyFont="1" applyFill="1" applyBorder="1" applyAlignment="1">
      <alignment horizontal="center" vertical="center"/>
    </xf>
    <xf numFmtId="164" fontId="2" fillId="2" borderId="73" xfId="2" applyFont="1" applyFill="1" applyBorder="1" applyAlignment="1" applyProtection="1">
      <alignment horizontal="center" vertical="center"/>
    </xf>
    <xf numFmtId="164" fontId="2" fillId="2" borderId="72" xfId="2" applyFont="1" applyFill="1" applyBorder="1" applyAlignment="1" applyProtection="1">
      <alignment horizontal="center" vertical="center"/>
    </xf>
    <xf numFmtId="164" fontId="2" fillId="2" borderId="71" xfId="2" applyFont="1" applyFill="1" applyBorder="1" applyAlignment="1" applyProtection="1">
      <alignment horizontal="center" vertical="center"/>
    </xf>
    <xf numFmtId="0" fontId="8" fillId="0" borderId="73" xfId="19" applyFont="1" applyFill="1" applyBorder="1" applyAlignment="1">
      <alignment horizontal="center" vertical="center"/>
    </xf>
    <xf numFmtId="0" fontId="8" fillId="0" borderId="72" xfId="19" applyFont="1" applyFill="1" applyBorder="1" applyAlignment="1">
      <alignment horizontal="center" vertical="center"/>
    </xf>
    <xf numFmtId="0" fontId="8" fillId="0" borderId="71" xfId="19" applyFont="1" applyFill="1" applyBorder="1" applyAlignment="1">
      <alignment horizontal="center" vertical="center"/>
    </xf>
  </cellXfs>
  <cellStyles count="20">
    <cellStyle name="Comma" xfId="1" builtinId="3"/>
    <cellStyle name="Comma 2" xfId="4"/>
    <cellStyle name="Comma 2 2" xfId="9"/>
    <cellStyle name="Comma 3" xfId="5"/>
    <cellStyle name="Comma 4" xfId="8"/>
    <cellStyle name="Normal" xfId="0" builtinId="0"/>
    <cellStyle name="Normal 2" xfId="6"/>
    <cellStyle name="Normal 2 2" xfId="19"/>
    <cellStyle name="Normal 3" xfId="7"/>
    <cellStyle name="Normal 3 2" xfId="15"/>
    <cellStyle name="Normal 4" xfId="10"/>
    <cellStyle name="Normal 5" xfId="11"/>
    <cellStyle name="Normal 6" xfId="12"/>
    <cellStyle name="Normal_Boiler6" xfId="16"/>
    <cellStyle name="Normal_fhc-kvb5" xfId="18"/>
    <cellStyle name="Normal_FIXED ROOF TANK" xfId="3"/>
    <cellStyle name="Normal_Flare Calcs" xfId="17"/>
    <cellStyle name="Normal_Tank-PES" xfId="2"/>
    <cellStyle name="Percent 2" xfId="13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SYU%20Renewal%20Part%2070%20Permits%20and%20Calcs%202003\Calcs%202003%20Renewal\LFC%20Cal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J.%20P.%20Oil\R7317-R6%20J%20P%20O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%20Applications\OCS%20-%20Drilling%20Reinjection%20Pump%20Engine\Appendix%20B%20-%20Emission%20Calc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Exxon%20-%20SYU%20Project/Permits%20-%20LFC/Reevals/Reeval%20PTO%205651%20(2009)/HAR%20Calc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Conway\Union%20Sugar\R7750-05%20Union%20Suga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SSID%2004640%20-%20SMRC%20Union%20Sugar/00037%20Santa%20Maria%20Refinery/Reeval%208259-R11/Reeval%2008259%20R11%20-%20Emission%20Calculations%20-%202-14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Greka\Cat_Canyon\Permits\IC%20Engines\Part%2070%20PTO%208036%20(2003)\ICE%20Cal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-Renewals\Pt70-Permits-Calcs-2003\Calcs%202003%20Renewal\HAR%20PTO%2010183%20Calc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SSID%2004640%20-%20SMRC%20Union%20Sugar/00037%20Santa%20Maria%20Refinery/Reeval%208259-R11/Reeval%2008259%20R11%20-%20Emission%20Calculations%20-%202-13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DRAFT\TANK-2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WINDOWS\DESKTOP\John's%20Stuff\Emission%20Calculations\Boiler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%20-%20Renewals\Pt70-Permits-Calcs-2003\Correspondance\POPCO%20Equip%20List%20and%20Fees%20(Final%20Revised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Excel\Software\Pigging%20Emission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unn/dow%20ghg/09%20ITR/Dow081209_npj_DraftGRP09_unloc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CD\DATA2\GROUP\ENGR\LIBRARY\SOFTWARE\DRAFT\TANK-2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A&amp;CBP/ATC/ATC%2011884/ATC%2011884%20CBP%20Calculations%209-22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04114%20Conway%20Enos%20Lease/Reevals/R8496-R8/R8496-R8%20Calc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11087%20E&amp;B%20Atlas%20Caliente/ATC-PTO%2012835%20Calc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11387%20Bognuda%20Lease/ATC%2013837/ATC%2013837%20Calc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LFC%20AB2588\2013%20-%20Update\Calcs\LFC%20Devices%20Emission%20Estimat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OIL&amp;GAS/REEVAL/7894EI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s\2012%20Reeval\Draft%20Permits%20-%20Second%20Version\PT70%20Reeval%205651%20R5%20cal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NUMBERED"/>
      <sheetName val="Data"/>
      <sheetName val="Data (2)"/>
      <sheetName val="EF"/>
      <sheetName val="Short-Term"/>
      <sheetName val="ST"/>
      <sheetName val="Long-Term"/>
      <sheetName val="LT"/>
      <sheetName val="Total"/>
      <sheetName val="Federal PTE"/>
      <sheetName val="Variables"/>
      <sheetName val="cumulative NEI"/>
      <sheetName val="Exempt"/>
      <sheetName val="ESE"/>
      <sheetName val="HAP EFs"/>
      <sheetName val="HAP Emissions"/>
      <sheetName val="CPP Calcs"/>
      <sheetName val="Fuel Use Limits"/>
      <sheetName val="CPP EF Basis"/>
      <sheetName val="HAP EF Basis"/>
      <sheetName val="Exempt Calcs"/>
      <sheetName val="Phase III Water Treatment"/>
      <sheetName val="Actual Exempt Calcs"/>
      <sheetName val="Actual Exempt"/>
      <sheetName val="SGTP ATC 1018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">
          <cell r="B8">
            <v>1200</v>
          </cell>
        </row>
        <row r="9">
          <cell r="B9">
            <v>19.3</v>
          </cell>
        </row>
        <row r="10">
          <cell r="B10">
            <v>560</v>
          </cell>
        </row>
        <row r="11">
          <cell r="B11">
            <v>140000</v>
          </cell>
        </row>
        <row r="12">
          <cell r="B12">
            <v>0.8</v>
          </cell>
        </row>
        <row r="14">
          <cell r="B14">
            <v>0.75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Fees"/>
      <sheetName val="500 bbl oil tank"/>
      <sheetName val="1000 bbl oil tank"/>
      <sheetName val="5000 bbl oil tank"/>
      <sheetName val="5000 bbl wash tank"/>
      <sheetName val="Loading Rack"/>
      <sheetName val="KVB FHC"/>
      <sheetName val="IC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65">
          <cell r="F65">
            <v>44.498018699999989</v>
          </cell>
          <cell r="H65">
            <v>6.6805424400000009</v>
          </cell>
          <cell r="J65">
            <v>9.5770013999999986</v>
          </cell>
          <cell r="L65">
            <v>3.947593260000001</v>
          </cell>
          <cell r="N65">
            <v>0.21022686000000004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"/>
      <sheetName val="Actuals"/>
      <sheetName val="Do not print - Variables"/>
      <sheetName val="Sheet3"/>
    </sheetNames>
    <sheetDataSet>
      <sheetData sheetId="0"/>
      <sheetData sheetId="1" refreshError="1"/>
      <sheetData sheetId="2">
        <row r="12">
          <cell r="C12">
            <v>138200</v>
          </cell>
        </row>
        <row r="20">
          <cell r="C20">
            <v>7.0430000000000001</v>
          </cell>
        </row>
      </sheetData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Exempt Calcs"/>
      <sheetName val="Variables"/>
      <sheetName val="Fuel Use Limits"/>
      <sheetName val="cumulative NEI"/>
      <sheetName val="Actual Exempt"/>
      <sheetName val="Actual Exempt 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 NEI"/>
      <sheetName val="IDS Tables"/>
      <sheetName val="Fees"/>
      <sheetName val="Wash Tank"/>
      <sheetName val="1000 bbl tank"/>
      <sheetName val="302 bbl tank"/>
      <sheetName val="Test Tank"/>
      <sheetName val="Loading Rack"/>
      <sheetName val="Flare"/>
      <sheetName val="Heater"/>
      <sheetName val="FHC CALC KVB"/>
      <sheetName val="CMPFUG"/>
      <sheetName val="ICEs Eq. Descr."/>
      <sheetName val="ICEs Emissions"/>
      <sheetName val="ICEs EF"/>
    </sheetNames>
    <sheetDataSet>
      <sheetData sheetId="0"/>
      <sheetData sheetId="1"/>
      <sheetData sheetId="2" refreshError="1"/>
      <sheetData sheetId="3" refreshError="1"/>
      <sheetData sheetId="4"/>
      <sheetData sheetId="5">
        <row r="64">
          <cell r="G64">
            <v>0.15944874144804527</v>
          </cell>
          <cell r="H64">
            <v>2.9099395314268261E-2</v>
          </cell>
        </row>
      </sheetData>
      <sheetData sheetId="6">
        <row r="64">
          <cell r="G64">
            <v>8.5109197199504966E-2</v>
          </cell>
          <cell r="H64">
            <v>1.5532428488909658E-2</v>
          </cell>
        </row>
      </sheetData>
      <sheetData sheetId="7">
        <row r="64">
          <cell r="G64">
            <v>0.29639741594950514</v>
          </cell>
          <cell r="H64">
            <v>5.4092528410784692E-2</v>
          </cell>
        </row>
      </sheetData>
      <sheetData sheetId="8"/>
      <sheetData sheetId="9"/>
      <sheetData sheetId="10"/>
      <sheetData sheetId="11">
        <row r="59">
          <cell r="D59">
            <v>20.171273579999998</v>
          </cell>
          <cell r="E59">
            <v>3.6812574283499995</v>
          </cell>
        </row>
      </sheetData>
      <sheetData sheetId="12">
        <row r="27">
          <cell r="I27">
            <v>0.77634639999999977</v>
          </cell>
          <cell r="J27">
            <v>0.14168321799999997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Crude Heater 1"/>
      <sheetName val="Crude Heater 2"/>
      <sheetName val="Crude Heater 3"/>
      <sheetName val="Wicks Boiler"/>
      <sheetName val="Miura Boiler 2"/>
      <sheetName val="Miura Boiler 3"/>
      <sheetName val="Seattle Boiler"/>
      <sheetName val="Asphalt Heater 1"/>
      <sheetName val="Asphalt Heater 2"/>
      <sheetName val="Asphalt Heater 3"/>
      <sheetName val="Asphalt Heater 4"/>
      <sheetName val="Hot Oil Heater"/>
      <sheetName val="Tank 10007"/>
      <sheetName val="Tank 10008"/>
      <sheetName val="Tank 10009"/>
      <sheetName val="Tank 25001"/>
      <sheetName val="Tank 27001"/>
      <sheetName val="Tank 40001"/>
      <sheetName val="Tank 40002"/>
      <sheetName val="Naphtha Loading Rack"/>
      <sheetName val="Distillate Loading Rack"/>
      <sheetName val="Fugitives"/>
      <sheetName val="Table 2 - FHC E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3">
          <cell r="H13" t="str">
            <v>x</v>
          </cell>
        </row>
      </sheetData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 New num"/>
      <sheetName val="Data A"/>
      <sheetName val="Data B"/>
      <sheetName val="Data C"/>
      <sheetName val="EF"/>
      <sheetName val="ST A"/>
      <sheetName val="ST B"/>
      <sheetName val="ST C"/>
      <sheetName val="LT A"/>
      <sheetName val="LT B"/>
      <sheetName val="LT C"/>
      <sheetName val="PTE"/>
      <sheetName val="FPTE"/>
      <sheetName val="NEI"/>
      <sheetName val="Data A 9D"/>
      <sheetName val="Variables"/>
      <sheetName val="CAM Calc"/>
      <sheetName val="Offsite ICE"/>
      <sheetName val="Exem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>
            <v>1100</v>
          </cell>
        </row>
        <row r="10">
          <cell r="B10">
            <v>796</v>
          </cell>
        </row>
        <row r="11">
          <cell r="B11">
            <v>239</v>
          </cell>
        </row>
      </sheetData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Variables"/>
      <sheetName val="Fuel Use Limits"/>
      <sheetName val="NEI-P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>
            <v>2524</v>
          </cell>
        </row>
      </sheetData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de Heater 1"/>
      <sheetName val="Crude Heater 2"/>
      <sheetName val="Crude Heater 3"/>
      <sheetName val="Wicks Boiler"/>
      <sheetName val="Miura Boiler 2"/>
      <sheetName val="Miura Boiler 3"/>
      <sheetName val="Seattle Boiler"/>
      <sheetName val="Asphalt Heater 1"/>
      <sheetName val="Asphalt Heater 2"/>
      <sheetName val="Asphalt Heater 3"/>
      <sheetName val="Asphalt Heater 4"/>
      <sheetName val="Hot Oil Heater"/>
      <sheetName val="Floating Roof Tank 10007"/>
      <sheetName val="Fixed Roof Tank 10009"/>
      <sheetName val="Floating Roof Tank 25001"/>
      <sheetName val="Fixed Roof Tank 27001"/>
      <sheetName val="Fixed Roof Tank 40001"/>
      <sheetName val="Floating Roof Tank 40002"/>
      <sheetName val="Naphtha Loading Rack"/>
      <sheetName val="Distillate Loading Rack"/>
      <sheetName val="Fugitive CLP Meth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M6" t="str">
            <v>Gas RVP 13</v>
          </cell>
        </row>
        <row r="7">
          <cell r="M7" t="str">
            <v>Gas RVP 10</v>
          </cell>
        </row>
        <row r="8">
          <cell r="M8" t="str">
            <v>Gas RVP 7</v>
          </cell>
        </row>
        <row r="9">
          <cell r="M9" t="str">
            <v>Crude Oil</v>
          </cell>
        </row>
        <row r="10">
          <cell r="M10" t="str">
            <v>JP-4</v>
          </cell>
        </row>
        <row r="11">
          <cell r="M11" t="str">
            <v>Jet Kerosene</v>
          </cell>
        </row>
        <row r="12">
          <cell r="M12" t="str">
            <v>Fuel Oil 2</v>
          </cell>
        </row>
        <row r="13">
          <cell r="M13" t="str">
            <v>Fuel Oil 6</v>
          </cell>
        </row>
        <row r="18">
          <cell r="M18" t="str">
            <v>Spec Aluminum</v>
          </cell>
        </row>
        <row r="19">
          <cell r="M19" t="str">
            <v>Diff Aluminum</v>
          </cell>
        </row>
        <row r="20">
          <cell r="M20" t="str">
            <v>Light Gray</v>
          </cell>
        </row>
        <row r="21">
          <cell r="M21" t="str">
            <v>Medium Gray</v>
          </cell>
        </row>
        <row r="22">
          <cell r="M22" t="str">
            <v>Red</v>
          </cell>
        </row>
        <row r="23">
          <cell r="M23" t="str">
            <v>White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iler6"/>
    </sheetNames>
    <definedNames>
      <definedName name="print01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 Fee Adjustment"/>
      <sheetName val="POPCO"/>
      <sheetName val="Calendar"/>
    </sheetNames>
    <sheetDataSet>
      <sheetData sheetId="0" refreshError="1">
        <row r="6">
          <cell r="B6">
            <v>48.72</v>
          </cell>
        </row>
        <row r="7">
          <cell r="B7">
            <v>25.26</v>
          </cell>
          <cell r="C7">
            <v>48.4</v>
          </cell>
          <cell r="D7">
            <v>4889.46</v>
          </cell>
        </row>
        <row r="8">
          <cell r="B8">
            <v>365.42</v>
          </cell>
          <cell r="C8">
            <v>48.4</v>
          </cell>
          <cell r="D8">
            <v>4889.46</v>
          </cell>
        </row>
        <row r="9">
          <cell r="B9">
            <v>4.91</v>
          </cell>
          <cell r="C9">
            <v>48.4</v>
          </cell>
          <cell r="D9">
            <v>4889.46</v>
          </cell>
        </row>
        <row r="10">
          <cell r="B10">
            <v>60.9</v>
          </cell>
          <cell r="C10">
            <v>509.34</v>
          </cell>
          <cell r="D10">
            <v>2444.16</v>
          </cell>
        </row>
        <row r="11">
          <cell r="B11">
            <v>2.79</v>
          </cell>
          <cell r="C11">
            <v>48.4</v>
          </cell>
          <cell r="D11">
            <v>2444.16</v>
          </cell>
        </row>
        <row r="12">
          <cell r="B12">
            <v>48.72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Values"/>
      <sheetName val="Sheet3"/>
    </sheetNames>
    <sheetDataSet>
      <sheetData sheetId="0" refreshError="1"/>
      <sheetData sheetId="1">
        <row r="3">
          <cell r="B3">
            <v>0.25</v>
          </cell>
        </row>
        <row r="5">
          <cell r="B5">
            <v>0.16666666666666666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EmFactor"/>
      <sheetName val="Control Panel"/>
      <sheetName val="PB_SUM"/>
      <sheetName val="PB_SFC"/>
      <sheetName val="PB_SCS"/>
      <sheetName val="PB_MB1"/>
      <sheetName val="PB_MB2"/>
      <sheetName val="PB_PES"/>
      <sheetName val="PB_FES"/>
      <sheetName val="PB_PE2"/>
      <sheetName val="PB_PS2"/>
      <sheetName val="TL_SUM "/>
      <sheetName val="TL_SFC "/>
      <sheetName val="TL_MB1"/>
      <sheetName val="TL_FES"/>
      <sheetName val="TL_PES"/>
      <sheetName val="TL_PE2 "/>
      <sheetName val="TR_SUM"/>
      <sheetName val="TR_SFC"/>
      <sheetName val="TR_MB1"/>
      <sheetName val="TR_FES"/>
      <sheetName val="TR_PE2"/>
      <sheetName val="RC_SUM"/>
      <sheetName val="RC_SFC"/>
      <sheetName val="RC_MB1"/>
      <sheetName val="RC_FES"/>
      <sheetName val="RC_PE2"/>
      <sheetName val="CC_SUM"/>
      <sheetName val="CC_SFC"/>
      <sheetName val="CC-MB1"/>
      <sheetName val="CC_FES"/>
      <sheetName val="CC_PE2"/>
      <sheetName val="SD_SUM"/>
      <sheetName val="SD_SFC"/>
      <sheetName val="SD_MB1"/>
      <sheetName val="SD_FES"/>
      <sheetName val="SD_PE2"/>
      <sheetName val="SD_RD"/>
      <sheetName val="FR_SUM"/>
      <sheetName val="FR_SFC"/>
      <sheetName val="FR_MB1"/>
      <sheetName val="FR_FES"/>
      <sheetName val="FR_PES"/>
      <sheetName val="FR_PE2"/>
      <sheetName val="FR_BC"/>
      <sheetName val="BD_SUM"/>
      <sheetName val="BD_MB1"/>
    </sheetNames>
    <sheetDataSet>
      <sheetData sheetId="0"/>
      <sheetData sheetId="1">
        <row r="13">
          <cell r="H13">
            <v>5.0000000000000001E-3</v>
          </cell>
          <cell r="I13">
            <v>1E-4</v>
          </cell>
        </row>
        <row r="14">
          <cell r="H14">
            <v>1.0999999999999999E-2</v>
          </cell>
          <cell r="I14">
            <v>1.6000000000000001E-3</v>
          </cell>
        </row>
        <row r="15">
          <cell r="H15">
            <v>1.0999999999999999E-2</v>
          </cell>
          <cell r="I15">
            <v>1.6000000000000001E-3</v>
          </cell>
        </row>
        <row r="18">
          <cell r="H18">
            <v>1.5E-3</v>
          </cell>
          <cell r="I18">
            <v>1E-4</v>
          </cell>
        </row>
        <row r="19">
          <cell r="H19">
            <v>1.6000000000000001E-3</v>
          </cell>
          <cell r="I19">
            <v>1E-4</v>
          </cell>
        </row>
        <row r="20">
          <cell r="H20">
            <v>1.4E-3</v>
          </cell>
          <cell r="I20">
            <v>1E-4</v>
          </cell>
        </row>
        <row r="21">
          <cell r="H21">
            <v>1E-3</v>
          </cell>
          <cell r="I21">
            <v>1E-4</v>
          </cell>
        </row>
        <row r="33">
          <cell r="Q33">
            <v>4.0000000000000002E-4</v>
          </cell>
        </row>
        <row r="34">
          <cell r="Q34">
            <v>4.0000000000000002E-4</v>
          </cell>
        </row>
        <row r="35">
          <cell r="Q35">
            <v>4.0000000000000002E-4</v>
          </cell>
        </row>
        <row r="36">
          <cell r="Q36">
            <v>2.9999999999999997E-4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-42 EF's"/>
      <sheetName val="Facility Info and EF's"/>
      <sheetName val="Emissions"/>
      <sheetName val="Baghouse Outlet"/>
      <sheetName val="Source Test"/>
      <sheetName val="BACT"/>
      <sheetName val="Facility NEI"/>
      <sheetName val="SSN-NEI"/>
    </sheetNames>
    <sheetDataSet>
      <sheetData sheetId="0"/>
      <sheetData sheetId="1">
        <row r="2">
          <cell r="A2" t="str">
            <v xml:space="preserve">ATC 11884  </v>
          </cell>
        </row>
        <row r="3">
          <cell r="A3" t="str">
            <v>Mission Ready Mix, Goleta</v>
          </cell>
        </row>
        <row r="10">
          <cell r="C10">
            <v>4.1322314049586778E-2</v>
          </cell>
        </row>
        <row r="13">
          <cell r="C13">
            <v>1500</v>
          </cell>
        </row>
        <row r="14">
          <cell r="C14">
            <v>450000</v>
          </cell>
        </row>
        <row r="56">
          <cell r="C56">
            <v>3796</v>
          </cell>
          <cell r="D56">
            <v>1329</v>
          </cell>
        </row>
      </sheetData>
      <sheetData sheetId="2">
        <row r="21">
          <cell r="B21">
            <v>57.661606822325425</v>
          </cell>
          <cell r="C21">
            <v>8.6137874637342424</v>
          </cell>
          <cell r="D21">
            <v>26.967402007627662</v>
          </cell>
          <cell r="E21">
            <v>4.0227911623532009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able 1"/>
      <sheetName val="IDS Tables"/>
      <sheetName val="NEI"/>
      <sheetName val="Wash Tank"/>
      <sheetName val="Crude Tank"/>
      <sheetName val="Loading Rack"/>
      <sheetName val="FHC CALC KVB"/>
      <sheetName val="Tank Heater"/>
      <sheetName val="Flare"/>
      <sheetName val="Fees"/>
    </sheetNames>
    <sheetDataSet>
      <sheetData sheetId="0">
        <row r="3">
          <cell r="B3" t="str">
            <v>Conway</v>
          </cell>
        </row>
        <row r="5">
          <cell r="B5" t="str">
            <v>Enos Lease</v>
          </cell>
        </row>
        <row r="9">
          <cell r="B9">
            <v>0.95</v>
          </cell>
        </row>
        <row r="17">
          <cell r="B17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Crude Tank"/>
      <sheetName val="CMPFUG"/>
      <sheetName val="Table 2 - FHC EFs"/>
      <sheetName val="Loading Rack"/>
      <sheetName val="LR Named Ranges"/>
      <sheetName val="Flare"/>
      <sheetName val="Sheet1"/>
    </sheetNames>
    <sheetDataSet>
      <sheetData sheetId="0"/>
      <sheetData sheetId="1"/>
      <sheetData sheetId="2">
        <row r="53">
          <cell r="K53">
            <v>0.95</v>
          </cell>
        </row>
      </sheetData>
      <sheetData sheetId="3"/>
      <sheetData sheetId="4"/>
      <sheetData sheetId="5">
        <row r="17">
          <cell r="D17">
            <v>0.5</v>
          </cell>
        </row>
        <row r="18">
          <cell r="D18">
            <v>50</v>
          </cell>
        </row>
        <row r="19">
          <cell r="D19">
            <v>3.29</v>
          </cell>
        </row>
        <row r="20">
          <cell r="D20">
            <v>530</v>
          </cell>
          <cell r="F20">
            <v>70</v>
          </cell>
        </row>
        <row r="21">
          <cell r="D21">
            <v>160</v>
          </cell>
        </row>
        <row r="22">
          <cell r="D22">
            <v>500</v>
          </cell>
        </row>
        <row r="23">
          <cell r="D23">
            <v>50</v>
          </cell>
        </row>
        <row r="24">
          <cell r="D24">
            <v>18250</v>
          </cell>
        </row>
        <row r="25">
          <cell r="D25">
            <v>0.95</v>
          </cell>
        </row>
        <row r="29">
          <cell r="G29">
            <v>3.125</v>
          </cell>
        </row>
        <row r="30">
          <cell r="G30">
            <v>114.0625</v>
          </cell>
        </row>
        <row r="31">
          <cell r="G31">
            <v>1.9336509433962266</v>
          </cell>
        </row>
        <row r="36">
          <cell r="H36">
            <v>12.994134339622642</v>
          </cell>
        </row>
        <row r="38">
          <cell r="H38">
            <v>40.606669811320756</v>
          </cell>
        </row>
        <row r="40">
          <cell r="H40">
            <v>0.74107172405660382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S Tables"/>
      <sheetName val="Total Permitted Emissions"/>
      <sheetName val="Wash Tank"/>
      <sheetName val="Crude Tank (2)"/>
      <sheetName val="KD Tanks"/>
      <sheetName val="Crude Loading Rack"/>
      <sheetName val="Loading Rack (2)"/>
      <sheetName val="Diluent Loading Rack"/>
      <sheetName val="FHC CALC KVB"/>
      <sheetName val="CMPFUG"/>
      <sheetName val="Loading R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D17">
            <v>0.5</v>
          </cell>
        </row>
        <row r="18">
          <cell r="D18">
            <v>50</v>
          </cell>
        </row>
        <row r="19">
          <cell r="D19">
            <v>3.29</v>
          </cell>
        </row>
        <row r="20">
          <cell r="D20">
            <v>530</v>
          </cell>
          <cell r="F20">
            <v>70</v>
          </cell>
        </row>
        <row r="21">
          <cell r="D21">
            <v>160</v>
          </cell>
        </row>
        <row r="22">
          <cell r="D22">
            <v>500</v>
          </cell>
        </row>
        <row r="23">
          <cell r="D23">
            <v>50</v>
          </cell>
        </row>
        <row r="24">
          <cell r="D24">
            <v>18250</v>
          </cell>
        </row>
        <row r="25">
          <cell r="D25">
            <v>0.95</v>
          </cell>
        </row>
        <row r="26">
          <cell r="D26">
            <v>0.88500000000000001</v>
          </cell>
        </row>
        <row r="29">
          <cell r="G29">
            <v>3.125</v>
          </cell>
        </row>
        <row r="30">
          <cell r="G30">
            <v>114.0625</v>
          </cell>
        </row>
        <row r="31">
          <cell r="G31">
            <v>1.9336509433962266</v>
          </cell>
        </row>
        <row r="36">
          <cell r="H36">
            <v>12.994134339622642</v>
          </cell>
        </row>
        <row r="38">
          <cell r="H38">
            <v>40.606669811320756</v>
          </cell>
        </row>
        <row r="40">
          <cell r="H40">
            <v>0.74107172405660382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Basis--&gt;"/>
      <sheetName val="SpecProf"/>
      <sheetName val="VC APCD Combustion"/>
      <sheetName val="Welding Factors"/>
      <sheetName val="Acids-Caustics"/>
      <sheetName val="Old Stream Data"/>
      <sheetName val="Unit Risk Factors"/>
      <sheetName val="New Sample Data"/>
      <sheetName val="MSDS"/>
      <sheetName val="Table 3-1 to 3-4"/>
      <sheetName val="SGTP"/>
      <sheetName val="SGTP Em"/>
      <sheetName val="SGTP Hrly"/>
      <sheetName val="OTP"/>
      <sheetName val="OTP Em"/>
      <sheetName val="OTP Hrly"/>
      <sheetName val="TT"/>
      <sheetName val="TT Em"/>
      <sheetName val="TT Hrly"/>
      <sheetName val="CPP"/>
      <sheetName val="CPP Em"/>
      <sheetName val="CPP Hrly"/>
      <sheetName val="Unsorted"/>
      <sheetName val="DataEF"/>
      <sheetName val="Calcs-&gt;&gt;"/>
      <sheetName val="CARB - CLP"/>
      <sheetName val="CARB-KVB"/>
      <sheetName val="Caustic - RL"/>
      <sheetName val="Ammonia Injection"/>
      <sheetName val="EPA AP42 Ch7"/>
      <sheetName val="Maintenance"/>
      <sheetName val="Solvent Use"/>
      <sheetName val="Produced Water"/>
      <sheetName val="Compressor Vents"/>
      <sheetName val="Steam System"/>
      <sheetName val="VCAPCD Combustion"/>
      <sheetName val="ThermOx Data"/>
      <sheetName val="Annual Avg"/>
      <sheetName val="TANK Calcs --&gt;"/>
      <sheetName val="Tanks"/>
      <sheetName val="FRT 1401a"/>
      <sheetName val="FRT 1401b"/>
      <sheetName val="FRT 1402"/>
      <sheetName val="FRT 3401a"/>
      <sheetName val="FRT 3401b"/>
      <sheetName val="Diesel 1416"/>
      <sheetName val="Equipment Lists--&gt;"/>
      <sheetName val="Stream Devices"/>
      <sheetName val="Device List"/>
      <sheetName val="LFC"/>
      <sheetName val="NoEmissions"/>
    </sheetNames>
    <sheetDataSet>
      <sheetData sheetId="0"/>
      <sheetData sheetId="1">
        <row r="4">
          <cell r="B4" t="str">
            <v>cas</v>
          </cell>
          <cell r="C4" t="str">
            <v>MW (lb/lb-mol)</v>
          </cell>
          <cell r="D4">
            <v>96</v>
          </cell>
          <cell r="E4">
            <v>297</v>
          </cell>
          <cell r="F4">
            <v>756</v>
          </cell>
          <cell r="G4">
            <v>757</v>
          </cell>
          <cell r="H4">
            <v>783</v>
          </cell>
          <cell r="I4">
            <v>1447</v>
          </cell>
        </row>
        <row r="5">
          <cell r="B5">
            <v>95501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0.125</v>
          </cell>
        </row>
        <row r="6">
          <cell r="B6">
            <v>589435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7.2800000000000004E-2</v>
          </cell>
          <cell r="I6">
            <v>0</v>
          </cell>
        </row>
        <row r="7">
          <cell r="B7">
            <v>108087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1.72E-2</v>
          </cell>
          <cell r="I7">
            <v>0</v>
          </cell>
        </row>
        <row r="8">
          <cell r="B8">
            <v>98011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0.125</v>
          </cell>
        </row>
        <row r="9">
          <cell r="B9">
            <v>7379126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3.7400000000000003E-2</v>
          </cell>
          <cell r="I9">
            <v>0</v>
          </cell>
        </row>
        <row r="10">
          <cell r="B10">
            <v>71432</v>
          </cell>
          <cell r="C10">
            <v>0</v>
          </cell>
          <cell r="D10">
            <v>0</v>
          </cell>
          <cell r="E10">
            <v>2.4E-2</v>
          </cell>
          <cell r="F10">
            <v>1E-3</v>
          </cell>
          <cell r="G10">
            <v>1E-3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1.6E-2</v>
          </cell>
          <cell r="G11">
            <v>8.9999999999999993E-3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6.0000000000000001E-3</v>
          </cell>
          <cell r="G12">
            <v>3.0000000000000001E-3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2E-3</v>
          </cell>
          <cell r="I13">
            <v>0</v>
          </cell>
        </row>
        <row r="14">
          <cell r="B14">
            <v>108907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0.125</v>
          </cell>
        </row>
        <row r="15">
          <cell r="B15">
            <v>8001589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0.125</v>
          </cell>
        </row>
        <row r="16">
          <cell r="B16">
            <v>110827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5.1000000000000004E-3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6.1000000000000004E-3</v>
          </cell>
          <cell r="I17">
            <v>0</v>
          </cell>
        </row>
        <row r="18">
          <cell r="B18">
            <v>74840</v>
          </cell>
          <cell r="C18">
            <v>0</v>
          </cell>
          <cell r="D18">
            <v>0</v>
          </cell>
          <cell r="E18">
            <v>2.7E-2</v>
          </cell>
          <cell r="F18">
            <v>6.4000000000000001E-2</v>
          </cell>
          <cell r="G18">
            <v>7.9000000000000001E-2</v>
          </cell>
          <cell r="H18">
            <v>0</v>
          </cell>
          <cell r="I18">
            <v>0</v>
          </cell>
        </row>
        <row r="19">
          <cell r="B19">
            <v>141786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2.0199999999999999E-2</v>
          </cell>
          <cell r="I19">
            <v>0</v>
          </cell>
        </row>
        <row r="20">
          <cell r="B20">
            <v>64175</v>
          </cell>
          <cell r="C20">
            <v>0</v>
          </cell>
          <cell r="D20">
            <v>5.6000000000000001E-2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100414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5.1000000000000004E-3</v>
          </cell>
          <cell r="I21">
            <v>0</v>
          </cell>
        </row>
        <row r="22">
          <cell r="B22">
            <v>1678917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1.4200000000000001E-2</v>
          </cell>
          <cell r="I22">
            <v>0</v>
          </cell>
        </row>
        <row r="23">
          <cell r="B23">
            <v>1640897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2E-3</v>
          </cell>
          <cell r="I23">
            <v>0</v>
          </cell>
        </row>
        <row r="24">
          <cell r="B24">
            <v>107211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0.125</v>
          </cell>
        </row>
        <row r="25">
          <cell r="B25">
            <v>111762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6.4699999999999994E-2</v>
          </cell>
          <cell r="I25">
            <v>0</v>
          </cell>
        </row>
        <row r="26">
          <cell r="B26">
            <v>29299432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8.0999999999999996E-3</v>
          </cell>
          <cell r="I26">
            <v>0</v>
          </cell>
        </row>
        <row r="27">
          <cell r="B27">
            <v>110543</v>
          </cell>
          <cell r="C27">
            <v>0</v>
          </cell>
          <cell r="D27">
            <v>0</v>
          </cell>
          <cell r="E27">
            <v>4.7E-2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75285</v>
          </cell>
          <cell r="C28">
            <v>0</v>
          </cell>
          <cell r="D28">
            <v>0</v>
          </cell>
          <cell r="E28">
            <v>9.2999999999999999E-2</v>
          </cell>
          <cell r="F28">
            <v>4.0000000000000001E-3</v>
          </cell>
          <cell r="G28">
            <v>2E-3</v>
          </cell>
          <cell r="H28">
            <v>0</v>
          </cell>
          <cell r="I28">
            <v>0</v>
          </cell>
        </row>
        <row r="29">
          <cell r="B29">
            <v>124185</v>
          </cell>
          <cell r="C29">
            <v>0</v>
          </cell>
          <cell r="D29">
            <v>0.27800000000000002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142825</v>
          </cell>
          <cell r="C30">
            <v>0</v>
          </cell>
          <cell r="D30">
            <v>0</v>
          </cell>
          <cell r="E30">
            <v>0.05</v>
          </cell>
          <cell r="F30">
            <v>0.11600000000000001</v>
          </cell>
          <cell r="G30">
            <v>6.0999999999999999E-2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5.0999999999999997E-2</v>
          </cell>
          <cell r="F31">
            <v>9.9000000000000005E-2</v>
          </cell>
          <cell r="G31">
            <v>5.1999999999999998E-2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0.109</v>
          </cell>
          <cell r="E32">
            <v>0</v>
          </cell>
          <cell r="F32">
            <v>0</v>
          </cell>
          <cell r="G32">
            <v>0</v>
          </cell>
          <cell r="H32">
            <v>2.7300000000000001E-2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4.0000000000000001E-3</v>
          </cell>
          <cell r="E33">
            <v>4.0000000000000001E-3</v>
          </cell>
          <cell r="F33">
            <v>8.6999999999999994E-2</v>
          </cell>
          <cell r="G33">
            <v>4.5999999999999999E-2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0.112</v>
          </cell>
          <cell r="F34">
            <v>5.6000000000000001E-2</v>
          </cell>
          <cell r="G34">
            <v>2.1000000000000001E-2</v>
          </cell>
          <cell r="H34">
            <v>0</v>
          </cell>
          <cell r="I34">
            <v>0</v>
          </cell>
        </row>
        <row r="35">
          <cell r="B35">
            <v>0</v>
          </cell>
          <cell r="C35">
            <v>0</v>
          </cell>
          <cell r="D35">
            <v>0.01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67630</v>
          </cell>
          <cell r="C36">
            <v>0</v>
          </cell>
          <cell r="D36">
            <v>5.7000000000000002E-2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74828</v>
          </cell>
          <cell r="C37">
            <v>0</v>
          </cell>
          <cell r="D37">
            <v>0</v>
          </cell>
          <cell r="E37">
            <v>8.7999999999999995E-2</v>
          </cell>
          <cell r="F37">
            <v>0.376</v>
          </cell>
          <cell r="G37">
            <v>0.61299999999999999</v>
          </cell>
          <cell r="H37">
            <v>0</v>
          </cell>
          <cell r="I37">
            <v>0</v>
          </cell>
        </row>
        <row r="38">
          <cell r="B38">
            <v>67561</v>
          </cell>
          <cell r="C38">
            <v>0</v>
          </cell>
          <cell r="D38">
            <v>5.6000000000000001E-2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>
            <v>78933</v>
          </cell>
          <cell r="C39">
            <v>0</v>
          </cell>
          <cell r="D39">
            <v>0.1</v>
          </cell>
          <cell r="E39">
            <v>0</v>
          </cell>
          <cell r="F39">
            <v>0</v>
          </cell>
          <cell r="G39">
            <v>0</v>
          </cell>
          <cell r="H39">
            <v>5.1000000000000004E-3</v>
          </cell>
          <cell r="I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1E-3</v>
          </cell>
          <cell r="I40">
            <v>0</v>
          </cell>
        </row>
        <row r="41">
          <cell r="B41">
            <v>108101</v>
          </cell>
          <cell r="C41">
            <v>0</v>
          </cell>
          <cell r="D41">
            <v>0.05</v>
          </cell>
          <cell r="E41">
            <v>0</v>
          </cell>
          <cell r="F41">
            <v>0</v>
          </cell>
          <cell r="G41">
            <v>0</v>
          </cell>
          <cell r="H41">
            <v>3.0000000000000001E-3</v>
          </cell>
          <cell r="I41">
            <v>0</v>
          </cell>
        </row>
        <row r="42">
          <cell r="B42">
            <v>80626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0.125</v>
          </cell>
        </row>
        <row r="43">
          <cell r="B43">
            <v>108872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3.6400000000000002E-2</v>
          </cell>
          <cell r="I43">
            <v>0</v>
          </cell>
        </row>
        <row r="44">
          <cell r="B44">
            <v>106978</v>
          </cell>
          <cell r="C44">
            <v>0</v>
          </cell>
          <cell r="D44">
            <v>0</v>
          </cell>
          <cell r="E44">
            <v>0.20799999999999999</v>
          </cell>
          <cell r="F44">
            <v>7.3999999999999996E-2</v>
          </cell>
          <cell r="G44">
            <v>4.2999999999999997E-2</v>
          </cell>
          <cell r="H44">
            <v>0</v>
          </cell>
          <cell r="I44">
            <v>0</v>
          </cell>
        </row>
        <row r="45">
          <cell r="B45">
            <v>123864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9.6100000000000005E-2</v>
          </cell>
          <cell r="I45">
            <v>0</v>
          </cell>
        </row>
        <row r="46">
          <cell r="B46">
            <v>142825</v>
          </cell>
          <cell r="C46">
            <v>0</v>
          </cell>
          <cell r="D46">
            <v>0</v>
          </cell>
          <cell r="E46">
            <v>0.02</v>
          </cell>
          <cell r="F46">
            <v>0</v>
          </cell>
          <cell r="G46">
            <v>0</v>
          </cell>
          <cell r="H46">
            <v>2.93E-2</v>
          </cell>
          <cell r="I46">
            <v>0</v>
          </cell>
        </row>
        <row r="47">
          <cell r="B47">
            <v>109660</v>
          </cell>
          <cell r="C47">
            <v>0</v>
          </cell>
          <cell r="D47">
            <v>0</v>
          </cell>
          <cell r="E47">
            <v>0.10100000000000001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95476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4.4499999999999998E-2</v>
          </cell>
          <cell r="I48">
            <v>0</v>
          </cell>
        </row>
        <row r="49">
          <cell r="B49">
            <v>127184</v>
          </cell>
          <cell r="C49">
            <v>0</v>
          </cell>
          <cell r="D49">
            <v>0.1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108952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0.125</v>
          </cell>
        </row>
        <row r="51">
          <cell r="B51">
            <v>74986</v>
          </cell>
          <cell r="C51">
            <v>0</v>
          </cell>
          <cell r="D51">
            <v>0</v>
          </cell>
          <cell r="E51">
            <v>0.161</v>
          </cell>
          <cell r="F51">
            <v>0.10100000000000001</v>
          </cell>
          <cell r="G51">
            <v>7.0000000000000007E-2</v>
          </cell>
          <cell r="H51">
            <v>0</v>
          </cell>
          <cell r="I51">
            <v>0</v>
          </cell>
        </row>
        <row r="52">
          <cell r="B52">
            <v>109604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1.21E-2</v>
          </cell>
          <cell r="I52">
            <v>0</v>
          </cell>
        </row>
        <row r="53">
          <cell r="B53">
            <v>57556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0.125</v>
          </cell>
        </row>
        <row r="54">
          <cell r="B54">
            <v>108883</v>
          </cell>
          <cell r="C54">
            <v>0</v>
          </cell>
          <cell r="D54">
            <v>0.04</v>
          </cell>
          <cell r="E54">
            <v>1.4E-2</v>
          </cell>
          <cell r="F54">
            <v>0</v>
          </cell>
          <cell r="G54">
            <v>0</v>
          </cell>
          <cell r="H54">
            <v>0.38219999999999998</v>
          </cell>
          <cell r="I54">
            <v>0</v>
          </cell>
        </row>
        <row r="55">
          <cell r="B55">
            <v>2207036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4.0399999999999998E-2</v>
          </cell>
          <cell r="I55">
            <v>0</v>
          </cell>
        </row>
        <row r="56">
          <cell r="B56">
            <v>95636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1E-3</v>
          </cell>
          <cell r="I56">
            <v>0</v>
          </cell>
        </row>
        <row r="57">
          <cell r="B57">
            <v>30498636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1.6199999999999999E-2</v>
          </cell>
          <cell r="I57">
            <v>0</v>
          </cell>
        </row>
        <row r="58">
          <cell r="B58">
            <v>30498647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1E-3</v>
          </cell>
          <cell r="I58">
            <v>0</v>
          </cell>
        </row>
        <row r="59">
          <cell r="B59">
            <v>1330207</v>
          </cell>
          <cell r="C59">
            <v>0</v>
          </cell>
          <cell r="D59">
            <v>0.04</v>
          </cell>
          <cell r="E59">
            <v>0</v>
          </cell>
          <cell r="F59">
            <v>0</v>
          </cell>
          <cell r="G59">
            <v>0</v>
          </cell>
          <cell r="H59">
            <v>3.7400000000000003E-2</v>
          </cell>
          <cell r="I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  <cell r="C61">
            <v>0</v>
          </cell>
          <cell r="D61">
            <v>0.90000000000000013</v>
          </cell>
          <cell r="E61">
            <v>1</v>
          </cell>
          <cell r="F61">
            <v>0.99999999999999989</v>
          </cell>
          <cell r="G61">
            <v>1</v>
          </cell>
          <cell r="H61">
            <v>0.98789999999999989</v>
          </cell>
          <cell r="I61">
            <v>1</v>
          </cell>
        </row>
        <row r="64">
          <cell r="B64" t="str">
            <v>FROG</v>
          </cell>
          <cell r="C64">
            <v>0</v>
          </cell>
          <cell r="D64">
            <v>0.90000000000000013</v>
          </cell>
          <cell r="E64">
            <v>0.88500000000000001</v>
          </cell>
          <cell r="F64">
            <v>0.55999999999999994</v>
          </cell>
          <cell r="G64">
            <v>0.30800000000000005</v>
          </cell>
          <cell r="H64">
            <v>0.98789999999999989</v>
          </cell>
          <cell r="I64">
            <v>1</v>
          </cell>
        </row>
      </sheetData>
      <sheetData sheetId="2"/>
      <sheetData sheetId="3"/>
      <sheetData sheetId="4"/>
      <sheetData sheetId="5">
        <row r="3">
          <cell r="K3" t="str">
            <v>Liquid</v>
          </cell>
          <cell r="L3" t="str">
            <v>Vapor Pressure</v>
          </cell>
          <cell r="M3" t="str">
            <v>SP-1</v>
          </cell>
          <cell r="N3" t="str">
            <v>SP-3</v>
          </cell>
          <cell r="O3" t="str">
            <v>SP-4</v>
          </cell>
          <cell r="P3" t="str">
            <v>SP-13</v>
          </cell>
          <cell r="Q3" t="str">
            <v>SL-2</v>
          </cell>
          <cell r="R3" t="str">
            <v>SL-3</v>
          </cell>
          <cell r="S3" t="str">
            <v>SL-4</v>
          </cell>
          <cell r="T3" t="str">
            <v>SL-5</v>
          </cell>
          <cell r="U3" t="str">
            <v>SL-6</v>
          </cell>
          <cell r="V3" t="str">
            <v>SL-7</v>
          </cell>
        </row>
        <row r="4">
          <cell r="K4">
            <v>0</v>
          </cell>
          <cell r="L4">
            <v>0</v>
          </cell>
          <cell r="M4" t="str">
            <v>Platform Liquid (Slug Catcher)</v>
          </cell>
          <cell r="N4" t="str">
            <v>Deth (Stabilizer Outlet)</v>
          </cell>
          <cell r="O4" t="str">
            <v>SWS Inlet</v>
          </cell>
          <cell r="P4" t="str">
            <v>Diesel Tank</v>
          </cell>
          <cell r="Q4" t="str">
            <v>QC Lab</v>
          </cell>
          <cell r="R4" t="str">
            <v>Anaerobic Filter</v>
          </cell>
          <cell r="S4" t="str">
            <v>Aeration Basin</v>
          </cell>
          <cell r="T4" t="str">
            <v>Emulsion</v>
          </cell>
          <cell r="U4" t="str">
            <v>Crude</v>
          </cell>
          <cell r="V4" t="str">
            <v>Produced Water</v>
          </cell>
        </row>
        <row r="5">
          <cell r="K5" t="str">
            <v>Air Pollutant</v>
          </cell>
          <cell r="L5" t="str">
            <v>Vapor Pressure (mm Hg)</v>
          </cell>
          <cell r="M5" t="str">
            <v>mg/l</v>
          </cell>
          <cell r="N5" t="str">
            <v>mg/l</v>
          </cell>
          <cell r="O5" t="str">
            <v>mg/l</v>
          </cell>
          <cell r="P5" t="str">
            <v>mg/kg</v>
          </cell>
          <cell r="Q5" t="str">
            <v>mg/l</v>
          </cell>
          <cell r="R5" t="str">
            <v>mg/l</v>
          </cell>
          <cell r="S5" t="str">
            <v>mg/l</v>
          </cell>
          <cell r="T5" t="str">
            <v>mg/l</v>
          </cell>
          <cell r="U5" t="str">
            <v>mg/l</v>
          </cell>
          <cell r="V5" t="str">
            <v>mg/l</v>
          </cell>
        </row>
        <row r="6">
          <cell r="K6" t="str">
            <v>Benzene</v>
          </cell>
          <cell r="L6">
            <v>96</v>
          </cell>
          <cell r="M6">
            <v>227</v>
          </cell>
          <cell r="N6">
            <v>14</v>
          </cell>
          <cell r="O6">
            <v>167</v>
          </cell>
          <cell r="P6">
            <v>116.67</v>
          </cell>
          <cell r="Q6">
            <v>0</v>
          </cell>
          <cell r="R6">
            <v>170</v>
          </cell>
          <cell r="S6">
            <v>0</v>
          </cell>
          <cell r="T6">
            <v>530</v>
          </cell>
          <cell r="U6">
            <v>820</v>
          </cell>
          <cell r="V6">
            <v>828</v>
          </cell>
        </row>
        <row r="7">
          <cell r="K7" t="str">
            <v>Carbonyl Sulfide</v>
          </cell>
          <cell r="L7">
            <v>1640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33</v>
          </cell>
          <cell r="S7">
            <v>21</v>
          </cell>
          <cell r="T7">
            <v>120</v>
          </cell>
          <cell r="U7">
            <v>47</v>
          </cell>
          <cell r="V7">
            <v>188</v>
          </cell>
        </row>
        <row r="8">
          <cell r="K8" t="str">
            <v>Chlorine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2.5299999999999998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 t="str">
            <v>Cyclohexane</v>
          </cell>
          <cell r="L9">
            <v>98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1300</v>
          </cell>
          <cell r="U9">
            <v>1900</v>
          </cell>
          <cell r="V9">
            <v>2031</v>
          </cell>
        </row>
        <row r="10">
          <cell r="K10" t="str">
            <v>Ethylbenzene</v>
          </cell>
          <cell r="L10">
            <v>10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660</v>
          </cell>
          <cell r="R10">
            <v>58</v>
          </cell>
          <cell r="S10">
            <v>0</v>
          </cell>
          <cell r="T10">
            <v>0</v>
          </cell>
          <cell r="U10">
            <v>1100</v>
          </cell>
          <cell r="V10">
            <v>0</v>
          </cell>
        </row>
        <row r="11">
          <cell r="K11" t="str">
            <v>Hydrogen Sulfide</v>
          </cell>
          <cell r="L11">
            <v>546</v>
          </cell>
          <cell r="M11">
            <v>9833</v>
          </cell>
          <cell r="N11">
            <v>15.5</v>
          </cell>
          <cell r="O11">
            <v>311.7</v>
          </cell>
          <cell r="P11">
            <v>0</v>
          </cell>
          <cell r="Q11">
            <v>0</v>
          </cell>
          <cell r="R11">
            <v>100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 t="str">
            <v>naphthalene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96</v>
          </cell>
          <cell r="S12">
            <v>0</v>
          </cell>
          <cell r="T12">
            <v>130</v>
          </cell>
          <cell r="U12">
            <v>190</v>
          </cell>
          <cell r="V12">
            <v>203</v>
          </cell>
        </row>
        <row r="13">
          <cell r="K13" t="str">
            <v>Toluene</v>
          </cell>
          <cell r="L13">
            <v>24</v>
          </cell>
          <cell r="M13">
            <v>35</v>
          </cell>
          <cell r="N13">
            <v>6</v>
          </cell>
          <cell r="O13">
            <v>127</v>
          </cell>
          <cell r="P13">
            <v>366.67</v>
          </cell>
          <cell r="Q13">
            <v>120000</v>
          </cell>
          <cell r="R13">
            <v>170</v>
          </cell>
          <cell r="S13">
            <v>0</v>
          </cell>
          <cell r="T13">
            <v>1300</v>
          </cell>
          <cell r="U13">
            <v>2000</v>
          </cell>
          <cell r="V13">
            <v>2031</v>
          </cell>
        </row>
        <row r="14">
          <cell r="K14" t="str">
            <v>Xylenes</v>
          </cell>
          <cell r="L14">
            <v>9</v>
          </cell>
          <cell r="M14">
            <v>33</v>
          </cell>
          <cell r="N14">
            <v>25</v>
          </cell>
          <cell r="O14">
            <v>22</v>
          </cell>
          <cell r="P14">
            <v>556.66999999999996</v>
          </cell>
          <cell r="Q14">
            <v>1800</v>
          </cell>
          <cell r="R14">
            <v>150</v>
          </cell>
          <cell r="S14">
            <v>0</v>
          </cell>
          <cell r="T14">
            <v>1200</v>
          </cell>
          <cell r="U14">
            <v>1900</v>
          </cell>
          <cell r="V14">
            <v>1875</v>
          </cell>
        </row>
        <row r="15">
          <cell r="K15" t="str">
            <v>Methanol</v>
          </cell>
          <cell r="L15">
            <v>0</v>
          </cell>
          <cell r="M15">
            <v>0</v>
          </cell>
          <cell r="N15">
            <v>1</v>
          </cell>
          <cell r="O15">
            <v>23078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 t="str">
            <v>Phosphoric Acid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1.2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 t="str">
            <v>Trimethylbenzene (1,2,4)</v>
          </cell>
          <cell r="L17">
            <v>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2500</v>
          </cell>
          <cell r="R17">
            <v>28</v>
          </cell>
          <cell r="S17">
            <v>0</v>
          </cell>
          <cell r="T17">
            <v>310</v>
          </cell>
          <cell r="U17">
            <v>450</v>
          </cell>
          <cell r="V17">
            <v>484</v>
          </cell>
        </row>
        <row r="18">
          <cell r="K18" t="str">
            <v>Glycol Ethers</v>
          </cell>
          <cell r="L18">
            <v>0</v>
          </cell>
          <cell r="M18">
            <v>0.7</v>
          </cell>
          <cell r="N18">
            <v>1</v>
          </cell>
          <cell r="O18">
            <v>790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 t="str">
            <v>Propylene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 t="str">
            <v>Ammonia</v>
          </cell>
          <cell r="L20">
            <v>0</v>
          </cell>
          <cell r="M20">
            <v>0</v>
          </cell>
          <cell r="N20">
            <v>0</v>
          </cell>
          <cell r="O20">
            <v>0.23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 t="str">
            <v>Sodium Hydroxide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 t="str">
            <v>Methyl Mercaptan</v>
          </cell>
          <cell r="L22">
            <v>0</v>
          </cell>
          <cell r="M22">
            <v>0</v>
          </cell>
          <cell r="N22">
            <v>0</v>
          </cell>
          <cell r="O22">
            <v>96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 t="str">
            <v>Arsenic</v>
          </cell>
          <cell r="L23">
            <v>0</v>
          </cell>
          <cell r="M23">
            <v>5</v>
          </cell>
          <cell r="N23">
            <v>0</v>
          </cell>
          <cell r="O23">
            <v>0</v>
          </cell>
          <cell r="P23">
            <v>3.03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 t="str">
            <v>Beryllium</v>
          </cell>
          <cell r="L24">
            <v>0</v>
          </cell>
          <cell r="M24">
            <v>10</v>
          </cell>
          <cell r="N24">
            <v>0</v>
          </cell>
          <cell r="O24">
            <v>0</v>
          </cell>
          <cell r="P24">
            <v>0.1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 t="str">
            <v>Cadmium</v>
          </cell>
          <cell r="L25">
            <v>0</v>
          </cell>
          <cell r="M25">
            <v>7.67</v>
          </cell>
          <cell r="N25">
            <v>0</v>
          </cell>
          <cell r="O25">
            <v>0</v>
          </cell>
          <cell r="P25">
            <v>0.1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 t="str">
            <v>hexavalent chromium</v>
          </cell>
          <cell r="L26">
            <v>0</v>
          </cell>
          <cell r="M26">
            <v>10</v>
          </cell>
          <cell r="N26">
            <v>0</v>
          </cell>
          <cell r="O26">
            <v>0</v>
          </cell>
          <cell r="P26">
            <v>0.1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 t="str">
            <v>Copper</v>
          </cell>
          <cell r="L27">
            <v>0</v>
          </cell>
          <cell r="M27">
            <v>76</v>
          </cell>
          <cell r="N27">
            <v>0</v>
          </cell>
          <cell r="O27">
            <v>0</v>
          </cell>
          <cell r="P27">
            <v>0.16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 t="str">
            <v>Lead</v>
          </cell>
          <cell r="L28">
            <v>0</v>
          </cell>
          <cell r="M28">
            <v>76.5</v>
          </cell>
          <cell r="N28">
            <v>0</v>
          </cell>
          <cell r="O28">
            <v>0</v>
          </cell>
          <cell r="P28">
            <v>0.41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 t="str">
            <v>Manganese</v>
          </cell>
          <cell r="L29">
            <v>0</v>
          </cell>
          <cell r="M29">
            <v>313.33</v>
          </cell>
          <cell r="N29">
            <v>0</v>
          </cell>
          <cell r="O29">
            <v>0</v>
          </cell>
          <cell r="P29">
            <v>0.1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K30" t="str">
            <v>Mercury</v>
          </cell>
          <cell r="L30">
            <v>0</v>
          </cell>
          <cell r="M30">
            <v>0.42</v>
          </cell>
          <cell r="N30">
            <v>0</v>
          </cell>
          <cell r="O30">
            <v>0</v>
          </cell>
          <cell r="P30">
            <v>0.1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K31" t="str">
            <v>Nickel</v>
          </cell>
          <cell r="L31">
            <v>0</v>
          </cell>
          <cell r="M31">
            <v>95</v>
          </cell>
          <cell r="N31">
            <v>0</v>
          </cell>
          <cell r="O31">
            <v>0</v>
          </cell>
          <cell r="P31">
            <v>0.17</v>
          </cell>
          <cell r="Q31">
            <v>0</v>
          </cell>
          <cell r="R31">
            <v>0.09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K32" t="str">
            <v>Selenium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0.05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K33" t="str">
            <v>Zinc</v>
          </cell>
          <cell r="L33">
            <v>0</v>
          </cell>
          <cell r="M33">
            <v>586.66999999999996</v>
          </cell>
          <cell r="N33">
            <v>0</v>
          </cell>
          <cell r="O33">
            <v>0</v>
          </cell>
          <cell r="P33">
            <v>1.69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9">
          <cell r="K39" t="str">
            <v>LFC Liquid</v>
          </cell>
          <cell r="L39" t="str">
            <v>MW</v>
          </cell>
          <cell r="M39" t="str">
            <v>SP-1</v>
          </cell>
          <cell r="N39" t="str">
            <v>SP-3</v>
          </cell>
          <cell r="O39" t="str">
            <v>SP-4</v>
          </cell>
          <cell r="P39" t="str">
            <v>SP-13</v>
          </cell>
          <cell r="Q39" t="str">
            <v>SL-2</v>
          </cell>
          <cell r="R39" t="str">
            <v>SL-3</v>
          </cell>
          <cell r="S39" t="str">
            <v>SL-4</v>
          </cell>
          <cell r="T39" t="str">
            <v>SL-5</v>
          </cell>
          <cell r="U39" t="str">
            <v>SL-6</v>
          </cell>
          <cell r="V39" t="str">
            <v>SL-7</v>
          </cell>
        </row>
        <row r="40">
          <cell r="K40" t="str">
            <v>Stream Density</v>
          </cell>
          <cell r="L40" t="str">
            <v>mg/l</v>
          </cell>
          <cell r="M40">
            <v>1000000</v>
          </cell>
          <cell r="N40">
            <v>420000</v>
          </cell>
          <cell r="O40">
            <v>1000000</v>
          </cell>
          <cell r="P40">
            <v>0</v>
          </cell>
          <cell r="Q40">
            <v>850000</v>
          </cell>
          <cell r="R40">
            <v>1000000</v>
          </cell>
          <cell r="S40">
            <v>1000000</v>
          </cell>
          <cell r="T40">
            <v>640000</v>
          </cell>
          <cell r="U40">
            <v>540000</v>
          </cell>
          <cell r="V40">
            <v>0</v>
          </cell>
        </row>
        <row r="41">
          <cell r="K41" t="str">
            <v>Air Pollutant</v>
          </cell>
          <cell r="L41" t="str">
            <v>g/mole</v>
          </cell>
          <cell r="M41" t="str">
            <v>lb/lb</v>
          </cell>
          <cell r="N41" t="str">
            <v>lb/lb</v>
          </cell>
          <cell r="O41" t="str">
            <v>lb/lb</v>
          </cell>
          <cell r="P41" t="str">
            <v>lb/lb</v>
          </cell>
          <cell r="Q41" t="str">
            <v>lb/lb</v>
          </cell>
          <cell r="R41" t="str">
            <v>lb/lb</v>
          </cell>
          <cell r="S41" t="str">
            <v>lb/lb</v>
          </cell>
          <cell r="T41" t="str">
            <v>lb/lb</v>
          </cell>
          <cell r="U41" t="str">
            <v>lb/lb</v>
          </cell>
          <cell r="V41" t="str">
            <v>lb/lb</v>
          </cell>
        </row>
        <row r="42">
          <cell r="K42" t="str">
            <v>Benzene</v>
          </cell>
          <cell r="L42">
            <v>78</v>
          </cell>
          <cell r="M42">
            <v>2.2699999999999999E-4</v>
          </cell>
          <cell r="N42">
            <v>3.3333333333333335E-5</v>
          </cell>
          <cell r="O42">
            <v>1.6699999999999999E-4</v>
          </cell>
          <cell r="P42">
            <v>1.1667000000000001E-4</v>
          </cell>
          <cell r="Q42">
            <v>0</v>
          </cell>
          <cell r="R42">
            <v>1.7000000000000001E-4</v>
          </cell>
          <cell r="S42">
            <v>0</v>
          </cell>
          <cell r="T42">
            <v>8.2812499999999998E-4</v>
          </cell>
          <cell r="U42">
            <v>1.5185185185185184E-3</v>
          </cell>
          <cell r="V42">
            <v>0</v>
          </cell>
        </row>
        <row r="43">
          <cell r="K43" t="str">
            <v>Carbonyl Sulfide</v>
          </cell>
          <cell r="L43">
            <v>60.07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3.3000000000000003E-5</v>
          </cell>
          <cell r="S43">
            <v>2.0999999999999999E-5</v>
          </cell>
          <cell r="T43">
            <v>1.875E-4</v>
          </cell>
          <cell r="U43">
            <v>8.7037037037037039E-5</v>
          </cell>
          <cell r="V43">
            <v>0</v>
          </cell>
        </row>
        <row r="44">
          <cell r="K44" t="str">
            <v>Chlorine</v>
          </cell>
          <cell r="L44">
            <v>70.906000000000006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K45" t="str">
            <v>Cyclohexane</v>
          </cell>
          <cell r="L45">
            <v>84.6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2.0312500000000001E-3</v>
          </cell>
          <cell r="U45">
            <v>3.5185185185185185E-3</v>
          </cell>
          <cell r="V45">
            <v>0</v>
          </cell>
        </row>
        <row r="46">
          <cell r="K46" t="str">
            <v>Ethyl benzene</v>
          </cell>
          <cell r="L46">
            <v>106.17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7.7647058823529416E-4</v>
          </cell>
          <cell r="R46">
            <v>5.8E-5</v>
          </cell>
          <cell r="S46">
            <v>0</v>
          </cell>
          <cell r="T46">
            <v>0</v>
          </cell>
          <cell r="U46">
            <v>2.0370370370370369E-3</v>
          </cell>
          <cell r="V46">
            <v>0</v>
          </cell>
        </row>
        <row r="47">
          <cell r="K47" t="str">
            <v>Hydrogen Sulfide</v>
          </cell>
          <cell r="L47">
            <v>34</v>
          </cell>
          <cell r="M47">
            <v>9.8329999999999997E-3</v>
          </cell>
          <cell r="N47">
            <v>3.6904761904761908E-5</v>
          </cell>
          <cell r="O47">
            <v>3.1169999999999999E-4</v>
          </cell>
          <cell r="P47">
            <v>0</v>
          </cell>
          <cell r="Q47">
            <v>0</v>
          </cell>
          <cell r="R47">
            <v>1E-4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K48" t="str">
            <v>naphthalene</v>
          </cell>
          <cell r="L48">
            <v>128.16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9.6000000000000002E-5</v>
          </cell>
          <cell r="S48">
            <v>0</v>
          </cell>
          <cell r="T48">
            <v>2.0312499999999999E-4</v>
          </cell>
          <cell r="U48">
            <v>3.5185185185185184E-4</v>
          </cell>
          <cell r="V48">
            <v>0</v>
          </cell>
        </row>
        <row r="49">
          <cell r="K49" t="str">
            <v>Toluene</v>
          </cell>
          <cell r="L49">
            <v>92</v>
          </cell>
          <cell r="M49">
            <v>3.4999999999999997E-5</v>
          </cell>
          <cell r="N49">
            <v>1.4285714285714285E-5</v>
          </cell>
          <cell r="O49">
            <v>1.27E-4</v>
          </cell>
          <cell r="P49">
            <v>3.6667000000000004E-4</v>
          </cell>
          <cell r="Q49">
            <v>0.14117647058823529</v>
          </cell>
          <cell r="R49">
            <v>1.7000000000000001E-4</v>
          </cell>
          <cell r="S49">
            <v>0</v>
          </cell>
          <cell r="T49">
            <v>2.0312500000000001E-3</v>
          </cell>
          <cell r="U49">
            <v>3.7037037037037038E-3</v>
          </cell>
          <cell r="V49">
            <v>0</v>
          </cell>
        </row>
        <row r="50">
          <cell r="K50" t="str">
            <v>Xylenes</v>
          </cell>
          <cell r="L50">
            <v>106</v>
          </cell>
          <cell r="M50">
            <v>3.3000000000000003E-5</v>
          </cell>
          <cell r="N50">
            <v>5.9523809523809524E-5</v>
          </cell>
          <cell r="O50">
            <v>2.1999999999999999E-5</v>
          </cell>
          <cell r="P50">
            <v>5.5666999999999999E-4</v>
          </cell>
          <cell r="Q50">
            <v>2.1176470588235292E-3</v>
          </cell>
          <cell r="R50">
            <v>1.4999999999999999E-4</v>
          </cell>
          <cell r="S50">
            <v>0</v>
          </cell>
          <cell r="T50">
            <v>1.8749999999999999E-3</v>
          </cell>
          <cell r="U50">
            <v>3.5185185185185185E-3</v>
          </cell>
          <cell r="V50">
            <v>0</v>
          </cell>
        </row>
        <row r="51">
          <cell r="K51" t="str">
            <v>Methanol</v>
          </cell>
          <cell r="L51">
            <v>32</v>
          </cell>
          <cell r="M51">
            <v>0</v>
          </cell>
          <cell r="N51">
            <v>2.3809523809523808E-6</v>
          </cell>
          <cell r="O51">
            <v>2.3078000000000001E-2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K52" t="str">
            <v>Phosphoric Acid</v>
          </cell>
          <cell r="L52">
            <v>97.99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1.1999999999999999E-6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K53" t="str">
            <v>Trimethylbenzene (1,2,4)</v>
          </cell>
          <cell r="L53">
            <v>120.19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2.9411764705882353E-3</v>
          </cell>
          <cell r="R53">
            <v>2.8E-5</v>
          </cell>
          <cell r="S53">
            <v>0</v>
          </cell>
          <cell r="T53">
            <v>4.84375E-4</v>
          </cell>
          <cell r="U53">
            <v>8.3333333333333339E-4</v>
          </cell>
          <cell r="V53">
            <v>0</v>
          </cell>
        </row>
        <row r="54">
          <cell r="K54" t="str">
            <v>Glycol Ethers</v>
          </cell>
          <cell r="L54">
            <v>120</v>
          </cell>
          <cell r="M54">
            <v>6.9999999999999997E-7</v>
          </cell>
          <cell r="N54">
            <v>2.3809523809523808E-6</v>
          </cell>
          <cell r="O54">
            <v>7.9000000000000001E-4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K55" t="str">
            <v>Propylene</v>
          </cell>
          <cell r="L55">
            <v>42</v>
          </cell>
          <cell r="M55">
            <v>0</v>
          </cell>
          <cell r="N55">
            <v>2.3809523809523808E-6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K56" t="str">
            <v>Ammonia</v>
          </cell>
          <cell r="L56">
            <v>17</v>
          </cell>
          <cell r="M56">
            <v>0</v>
          </cell>
          <cell r="N56">
            <v>0</v>
          </cell>
          <cell r="O56">
            <v>2.3000000000000002E-7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K57" t="str">
            <v>Sodium Hydroxide</v>
          </cell>
          <cell r="L57">
            <v>39.99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K58" t="str">
            <v>Methyl Mercaptan</v>
          </cell>
          <cell r="L58">
            <v>48.1</v>
          </cell>
          <cell r="M58">
            <v>0</v>
          </cell>
          <cell r="N58">
            <v>0</v>
          </cell>
          <cell r="O58">
            <v>9.6000000000000002E-5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K59" t="str">
            <v>Arsenic</v>
          </cell>
          <cell r="L59">
            <v>74.92</v>
          </cell>
          <cell r="M59">
            <v>5.0000000000000004E-6</v>
          </cell>
          <cell r="N59">
            <v>0</v>
          </cell>
          <cell r="O59">
            <v>0</v>
          </cell>
          <cell r="P59">
            <v>3.0299999999999998E-6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K60" t="str">
            <v>Beryllium</v>
          </cell>
          <cell r="L60">
            <v>9.0120000000000005</v>
          </cell>
          <cell r="M60">
            <v>1.0000000000000001E-5</v>
          </cell>
          <cell r="N60">
            <v>0</v>
          </cell>
          <cell r="O60">
            <v>0</v>
          </cell>
          <cell r="P60">
            <v>1.0000000000000001E-7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K61" t="str">
            <v>Cadmium</v>
          </cell>
          <cell r="L61">
            <v>112.41</v>
          </cell>
          <cell r="M61">
            <v>7.6699999999999994E-6</v>
          </cell>
          <cell r="N61">
            <v>0</v>
          </cell>
          <cell r="O61">
            <v>0</v>
          </cell>
          <cell r="P61">
            <v>1.0000000000000001E-7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K62" t="str">
            <v>hexavalent chromium</v>
          </cell>
          <cell r="L62">
            <v>51.996000000000002</v>
          </cell>
          <cell r="M62">
            <v>1.0000000000000001E-5</v>
          </cell>
          <cell r="N62">
            <v>0</v>
          </cell>
          <cell r="O62">
            <v>0</v>
          </cell>
          <cell r="P62">
            <v>1.0000000000000001E-7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K63" t="str">
            <v>Copper</v>
          </cell>
          <cell r="L63">
            <v>63.545999999999999</v>
          </cell>
          <cell r="M63">
            <v>7.6000000000000004E-5</v>
          </cell>
          <cell r="N63">
            <v>0</v>
          </cell>
          <cell r="O63">
            <v>0</v>
          </cell>
          <cell r="P63">
            <v>1.6E-7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K64" t="str">
            <v>Lead</v>
          </cell>
          <cell r="L64">
            <v>207.2</v>
          </cell>
          <cell r="M64">
            <v>7.6500000000000003E-5</v>
          </cell>
          <cell r="N64">
            <v>0</v>
          </cell>
          <cell r="O64">
            <v>0</v>
          </cell>
          <cell r="P64">
            <v>4.0999999999999999E-7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K65" t="str">
            <v>Manganese</v>
          </cell>
          <cell r="L65">
            <v>54.93</v>
          </cell>
          <cell r="M65">
            <v>3.1333000000000001E-4</v>
          </cell>
          <cell r="N65">
            <v>0</v>
          </cell>
          <cell r="O65">
            <v>0</v>
          </cell>
          <cell r="P65">
            <v>1.0000000000000001E-7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K66" t="str">
            <v>Mercury</v>
          </cell>
          <cell r="L66">
            <v>200.59</v>
          </cell>
          <cell r="M66">
            <v>4.2E-7</v>
          </cell>
          <cell r="N66">
            <v>0</v>
          </cell>
          <cell r="O66">
            <v>0</v>
          </cell>
          <cell r="P66">
            <v>1.0000000000000001E-7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K67" t="str">
            <v>Nickel</v>
          </cell>
          <cell r="L67">
            <v>58.69</v>
          </cell>
          <cell r="M67">
            <v>9.5000000000000005E-5</v>
          </cell>
          <cell r="N67">
            <v>0</v>
          </cell>
          <cell r="O67">
            <v>0</v>
          </cell>
          <cell r="P67">
            <v>1.7000000000000001E-7</v>
          </cell>
          <cell r="Q67">
            <v>0</v>
          </cell>
          <cell r="R67">
            <v>8.9999999999999999E-8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K68" t="str">
            <v>Selenium</v>
          </cell>
          <cell r="L68">
            <v>78.959999999999994</v>
          </cell>
          <cell r="M68">
            <v>5.0000000000000004E-6</v>
          </cell>
          <cell r="N68">
            <v>0</v>
          </cell>
          <cell r="O68">
            <v>0</v>
          </cell>
          <cell r="P68">
            <v>5.0000000000000004E-8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K69" t="str">
            <v>Zinc</v>
          </cell>
          <cell r="L69">
            <v>65.39</v>
          </cell>
          <cell r="M69">
            <v>5.8666999999999996E-4</v>
          </cell>
          <cell r="N69">
            <v>0</v>
          </cell>
          <cell r="O69">
            <v>0</v>
          </cell>
          <cell r="P69">
            <v>1.6899999999999999E-6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57">
          <cell r="K57">
            <v>0.75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>
        <row r="11">
          <cell r="C11">
            <v>1.905</v>
          </cell>
        </row>
        <row r="12">
          <cell r="F12">
            <v>0.16900000000000001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9.4499999999999993</v>
          </cell>
        </row>
        <row r="21">
          <cell r="F21">
            <v>0.16900000000000001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T"/>
      <sheetName val="LT"/>
      <sheetName val="Total"/>
      <sheetName val="Federal PTE"/>
      <sheetName val="CPP Calcs"/>
      <sheetName val="CPP EF Basis"/>
      <sheetName val="ThermOx Data"/>
      <sheetName val="ThermOx EF"/>
      <sheetName val="ThermOx ST"/>
      <sheetName val="ThermOx LT"/>
      <sheetName val="Facility NEI"/>
      <sheetName val="SSN-NEI"/>
      <sheetName val="ESE"/>
      <sheetName val="Table 7.1 NOx"/>
      <sheetName val="Table 7.2 ROC"/>
      <sheetName val="Table 7.3 SOx"/>
      <sheetName val="Table 7.4 PM"/>
      <sheetName val="Table 7.5 ESE Offsets"/>
      <sheetName val="ESE Table 7.6"/>
      <sheetName val="Table 7.7"/>
      <sheetName val="HAP EFs"/>
      <sheetName val="HAP Emissions"/>
      <sheetName val="HAP EF Basis"/>
      <sheetName val="Exempt"/>
      <sheetName val="Exempt Calcs"/>
      <sheetName val="Incin Corrected"/>
      <sheetName val="Incin - Input Data Renewal"/>
      <sheetName val="Boat Fuel Use"/>
      <sheetName val="A.1 Boat Fuel Use"/>
      <sheetName val="Fuel Use Limits"/>
      <sheetName val="FRT 1401a"/>
      <sheetName val="FRT 1402"/>
      <sheetName val="FRT 3401a"/>
      <sheetName val="Phase III Water Treatment"/>
      <sheetName val="Tanks, Sumps, Separators List"/>
      <sheetName val="Footnotes"/>
      <sheetName val="DeviceNo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C8">
            <v>1300</v>
          </cell>
        </row>
        <row r="40">
          <cell r="D40">
            <v>453.59</v>
          </cell>
        </row>
        <row r="41">
          <cell r="D41">
            <v>2000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U118"/>
  <sheetViews>
    <sheetView showGridLines="0" tabSelected="1" zoomScale="80" zoomScaleNormal="80" workbookViewId="0">
      <selection activeCell="D4" sqref="D4"/>
    </sheetView>
  </sheetViews>
  <sheetFormatPr defaultColWidth="12.5703125" defaultRowHeight="14.25"/>
  <cols>
    <col min="1" max="2" width="3.5703125" style="1" customWidth="1"/>
    <col min="3" max="3" width="18.28515625" style="1" customWidth="1"/>
    <col min="4" max="4" width="13.5703125" style="1" customWidth="1"/>
    <col min="5" max="5" width="22" style="1" customWidth="1"/>
    <col min="6" max="7" width="16.7109375" style="1" customWidth="1"/>
    <col min="8" max="8" width="7.7109375" style="1" customWidth="1"/>
    <col min="9" max="9" width="30.42578125" style="1" customWidth="1"/>
    <col min="10" max="11" width="3.5703125" style="1" customWidth="1"/>
    <col min="12" max="12" width="10.7109375" style="1" customWidth="1"/>
    <col min="13" max="13" width="20" style="1" hidden="1" customWidth="1"/>
    <col min="14" max="14" width="19.42578125" style="1" hidden="1" customWidth="1"/>
    <col min="15" max="15" width="20.42578125" style="1" hidden="1" customWidth="1"/>
    <col min="16" max="16" width="10.28515625" style="1" hidden="1" customWidth="1"/>
    <col min="17" max="17" width="18" style="1" hidden="1" customWidth="1"/>
    <col min="18" max="18" width="15.5703125" style="1" hidden="1" customWidth="1"/>
    <col min="19" max="19" width="10.42578125" style="1" hidden="1" customWidth="1"/>
    <col min="20" max="20" width="18" style="1" hidden="1" customWidth="1"/>
    <col min="21" max="21" width="19.42578125" style="1" hidden="1" customWidth="1"/>
    <col min="22" max="265" width="12.5703125" style="1"/>
    <col min="266" max="266" width="3.5703125" style="1" customWidth="1"/>
    <col min="267" max="267" width="57.28515625" style="1" customWidth="1"/>
    <col min="268" max="268" width="13.5703125" style="1" customWidth="1"/>
    <col min="269" max="269" width="14.5703125" style="1" customWidth="1"/>
    <col min="270" max="270" width="12.5703125" style="1"/>
    <col min="271" max="271" width="16.42578125" style="1" customWidth="1"/>
    <col min="272" max="272" width="14.7109375" style="1" customWidth="1"/>
    <col min="273" max="273" width="12.5703125" style="1"/>
    <col min="274" max="274" width="12.5703125" style="1" customWidth="1"/>
    <col min="275" max="275" width="16.42578125" style="1" customWidth="1"/>
    <col min="276" max="276" width="12.5703125" style="1"/>
    <col min="277" max="277" width="3.5703125" style="1" customWidth="1"/>
    <col min="278" max="521" width="12.5703125" style="1"/>
    <col min="522" max="522" width="3.5703125" style="1" customWidth="1"/>
    <col min="523" max="523" width="57.28515625" style="1" customWidth="1"/>
    <col min="524" max="524" width="13.5703125" style="1" customWidth="1"/>
    <col min="525" max="525" width="14.5703125" style="1" customWidth="1"/>
    <col min="526" max="526" width="12.5703125" style="1"/>
    <col min="527" max="527" width="16.42578125" style="1" customWidth="1"/>
    <col min="528" max="528" width="14.7109375" style="1" customWidth="1"/>
    <col min="529" max="529" width="12.5703125" style="1"/>
    <col min="530" max="530" width="12.5703125" style="1" customWidth="1"/>
    <col min="531" max="531" width="16.42578125" style="1" customWidth="1"/>
    <col min="532" max="532" width="12.5703125" style="1"/>
    <col min="533" max="533" width="3.5703125" style="1" customWidth="1"/>
    <col min="534" max="777" width="12.5703125" style="1"/>
    <col min="778" max="778" width="3.5703125" style="1" customWidth="1"/>
    <col min="779" max="779" width="57.28515625" style="1" customWidth="1"/>
    <col min="780" max="780" width="13.5703125" style="1" customWidth="1"/>
    <col min="781" max="781" width="14.5703125" style="1" customWidth="1"/>
    <col min="782" max="782" width="12.5703125" style="1"/>
    <col min="783" max="783" width="16.42578125" style="1" customWidth="1"/>
    <col min="784" max="784" width="14.7109375" style="1" customWidth="1"/>
    <col min="785" max="785" width="12.5703125" style="1"/>
    <col min="786" max="786" width="12.5703125" style="1" customWidth="1"/>
    <col min="787" max="787" width="16.42578125" style="1" customWidth="1"/>
    <col min="788" max="788" width="12.5703125" style="1"/>
    <col min="789" max="789" width="3.5703125" style="1" customWidth="1"/>
    <col min="790" max="1033" width="12.5703125" style="1"/>
    <col min="1034" max="1034" width="3.5703125" style="1" customWidth="1"/>
    <col min="1035" max="1035" width="57.28515625" style="1" customWidth="1"/>
    <col min="1036" max="1036" width="13.5703125" style="1" customWidth="1"/>
    <col min="1037" max="1037" width="14.5703125" style="1" customWidth="1"/>
    <col min="1038" max="1038" width="12.5703125" style="1"/>
    <col min="1039" max="1039" width="16.42578125" style="1" customWidth="1"/>
    <col min="1040" max="1040" width="14.7109375" style="1" customWidth="1"/>
    <col min="1041" max="1041" width="12.5703125" style="1"/>
    <col min="1042" max="1042" width="12.5703125" style="1" customWidth="1"/>
    <col min="1043" max="1043" width="16.42578125" style="1" customWidth="1"/>
    <col min="1044" max="1044" width="12.5703125" style="1"/>
    <col min="1045" max="1045" width="3.5703125" style="1" customWidth="1"/>
    <col min="1046" max="1289" width="12.5703125" style="1"/>
    <col min="1290" max="1290" width="3.5703125" style="1" customWidth="1"/>
    <col min="1291" max="1291" width="57.28515625" style="1" customWidth="1"/>
    <col min="1292" max="1292" width="13.5703125" style="1" customWidth="1"/>
    <col min="1293" max="1293" width="14.5703125" style="1" customWidth="1"/>
    <col min="1294" max="1294" width="12.5703125" style="1"/>
    <col min="1295" max="1295" width="16.42578125" style="1" customWidth="1"/>
    <col min="1296" max="1296" width="14.7109375" style="1" customWidth="1"/>
    <col min="1297" max="1297" width="12.5703125" style="1"/>
    <col min="1298" max="1298" width="12.5703125" style="1" customWidth="1"/>
    <col min="1299" max="1299" width="16.42578125" style="1" customWidth="1"/>
    <col min="1300" max="1300" width="12.5703125" style="1"/>
    <col min="1301" max="1301" width="3.5703125" style="1" customWidth="1"/>
    <col min="1302" max="1545" width="12.5703125" style="1"/>
    <col min="1546" max="1546" width="3.5703125" style="1" customWidth="1"/>
    <col min="1547" max="1547" width="57.28515625" style="1" customWidth="1"/>
    <col min="1548" max="1548" width="13.5703125" style="1" customWidth="1"/>
    <col min="1549" max="1549" width="14.5703125" style="1" customWidth="1"/>
    <col min="1550" max="1550" width="12.5703125" style="1"/>
    <col min="1551" max="1551" width="16.42578125" style="1" customWidth="1"/>
    <col min="1552" max="1552" width="14.7109375" style="1" customWidth="1"/>
    <col min="1553" max="1553" width="12.5703125" style="1"/>
    <col min="1554" max="1554" width="12.5703125" style="1" customWidth="1"/>
    <col min="1555" max="1555" width="16.42578125" style="1" customWidth="1"/>
    <col min="1556" max="1556" width="12.5703125" style="1"/>
    <col min="1557" max="1557" width="3.5703125" style="1" customWidth="1"/>
    <col min="1558" max="1801" width="12.5703125" style="1"/>
    <col min="1802" max="1802" width="3.5703125" style="1" customWidth="1"/>
    <col min="1803" max="1803" width="57.28515625" style="1" customWidth="1"/>
    <col min="1804" max="1804" width="13.5703125" style="1" customWidth="1"/>
    <col min="1805" max="1805" width="14.5703125" style="1" customWidth="1"/>
    <col min="1806" max="1806" width="12.5703125" style="1"/>
    <col min="1807" max="1807" width="16.42578125" style="1" customWidth="1"/>
    <col min="1808" max="1808" width="14.7109375" style="1" customWidth="1"/>
    <col min="1809" max="1809" width="12.5703125" style="1"/>
    <col min="1810" max="1810" width="12.5703125" style="1" customWidth="1"/>
    <col min="1811" max="1811" width="16.42578125" style="1" customWidth="1"/>
    <col min="1812" max="1812" width="12.5703125" style="1"/>
    <col min="1813" max="1813" width="3.5703125" style="1" customWidth="1"/>
    <col min="1814" max="2057" width="12.5703125" style="1"/>
    <col min="2058" max="2058" width="3.5703125" style="1" customWidth="1"/>
    <col min="2059" max="2059" width="57.28515625" style="1" customWidth="1"/>
    <col min="2060" max="2060" width="13.5703125" style="1" customWidth="1"/>
    <col min="2061" max="2061" width="14.5703125" style="1" customWidth="1"/>
    <col min="2062" max="2062" width="12.5703125" style="1"/>
    <col min="2063" max="2063" width="16.42578125" style="1" customWidth="1"/>
    <col min="2064" max="2064" width="14.7109375" style="1" customWidth="1"/>
    <col min="2065" max="2065" width="12.5703125" style="1"/>
    <col min="2066" max="2066" width="12.5703125" style="1" customWidth="1"/>
    <col min="2067" max="2067" width="16.42578125" style="1" customWidth="1"/>
    <col min="2068" max="2068" width="12.5703125" style="1"/>
    <col min="2069" max="2069" width="3.5703125" style="1" customWidth="1"/>
    <col min="2070" max="2313" width="12.5703125" style="1"/>
    <col min="2314" max="2314" width="3.5703125" style="1" customWidth="1"/>
    <col min="2315" max="2315" width="57.28515625" style="1" customWidth="1"/>
    <col min="2316" max="2316" width="13.5703125" style="1" customWidth="1"/>
    <col min="2317" max="2317" width="14.5703125" style="1" customWidth="1"/>
    <col min="2318" max="2318" width="12.5703125" style="1"/>
    <col min="2319" max="2319" width="16.42578125" style="1" customWidth="1"/>
    <col min="2320" max="2320" width="14.7109375" style="1" customWidth="1"/>
    <col min="2321" max="2321" width="12.5703125" style="1"/>
    <col min="2322" max="2322" width="12.5703125" style="1" customWidth="1"/>
    <col min="2323" max="2323" width="16.42578125" style="1" customWidth="1"/>
    <col min="2324" max="2324" width="12.5703125" style="1"/>
    <col min="2325" max="2325" width="3.5703125" style="1" customWidth="1"/>
    <col min="2326" max="2569" width="12.5703125" style="1"/>
    <col min="2570" max="2570" width="3.5703125" style="1" customWidth="1"/>
    <col min="2571" max="2571" width="57.28515625" style="1" customWidth="1"/>
    <col min="2572" max="2572" width="13.5703125" style="1" customWidth="1"/>
    <col min="2573" max="2573" width="14.5703125" style="1" customWidth="1"/>
    <col min="2574" max="2574" width="12.5703125" style="1"/>
    <col min="2575" max="2575" width="16.42578125" style="1" customWidth="1"/>
    <col min="2576" max="2576" width="14.7109375" style="1" customWidth="1"/>
    <col min="2577" max="2577" width="12.5703125" style="1"/>
    <col min="2578" max="2578" width="12.5703125" style="1" customWidth="1"/>
    <col min="2579" max="2579" width="16.42578125" style="1" customWidth="1"/>
    <col min="2580" max="2580" width="12.5703125" style="1"/>
    <col min="2581" max="2581" width="3.5703125" style="1" customWidth="1"/>
    <col min="2582" max="2825" width="12.5703125" style="1"/>
    <col min="2826" max="2826" width="3.5703125" style="1" customWidth="1"/>
    <col min="2827" max="2827" width="57.28515625" style="1" customWidth="1"/>
    <col min="2828" max="2828" width="13.5703125" style="1" customWidth="1"/>
    <col min="2829" max="2829" width="14.5703125" style="1" customWidth="1"/>
    <col min="2830" max="2830" width="12.5703125" style="1"/>
    <col min="2831" max="2831" width="16.42578125" style="1" customWidth="1"/>
    <col min="2832" max="2832" width="14.7109375" style="1" customWidth="1"/>
    <col min="2833" max="2833" width="12.5703125" style="1"/>
    <col min="2834" max="2834" width="12.5703125" style="1" customWidth="1"/>
    <col min="2835" max="2835" width="16.42578125" style="1" customWidth="1"/>
    <col min="2836" max="2836" width="12.5703125" style="1"/>
    <col min="2837" max="2837" width="3.5703125" style="1" customWidth="1"/>
    <col min="2838" max="3081" width="12.5703125" style="1"/>
    <col min="3082" max="3082" width="3.5703125" style="1" customWidth="1"/>
    <col min="3083" max="3083" width="57.28515625" style="1" customWidth="1"/>
    <col min="3084" max="3084" width="13.5703125" style="1" customWidth="1"/>
    <col min="3085" max="3085" width="14.5703125" style="1" customWidth="1"/>
    <col min="3086" max="3086" width="12.5703125" style="1"/>
    <col min="3087" max="3087" width="16.42578125" style="1" customWidth="1"/>
    <col min="3088" max="3088" width="14.7109375" style="1" customWidth="1"/>
    <col min="3089" max="3089" width="12.5703125" style="1"/>
    <col min="3090" max="3090" width="12.5703125" style="1" customWidth="1"/>
    <col min="3091" max="3091" width="16.42578125" style="1" customWidth="1"/>
    <col min="3092" max="3092" width="12.5703125" style="1"/>
    <col min="3093" max="3093" width="3.5703125" style="1" customWidth="1"/>
    <col min="3094" max="3337" width="12.5703125" style="1"/>
    <col min="3338" max="3338" width="3.5703125" style="1" customWidth="1"/>
    <col min="3339" max="3339" width="57.28515625" style="1" customWidth="1"/>
    <col min="3340" max="3340" width="13.5703125" style="1" customWidth="1"/>
    <col min="3341" max="3341" width="14.5703125" style="1" customWidth="1"/>
    <col min="3342" max="3342" width="12.5703125" style="1"/>
    <col min="3343" max="3343" width="16.42578125" style="1" customWidth="1"/>
    <col min="3344" max="3344" width="14.7109375" style="1" customWidth="1"/>
    <col min="3345" max="3345" width="12.5703125" style="1"/>
    <col min="3346" max="3346" width="12.5703125" style="1" customWidth="1"/>
    <col min="3347" max="3347" width="16.42578125" style="1" customWidth="1"/>
    <col min="3348" max="3348" width="12.5703125" style="1"/>
    <col min="3349" max="3349" width="3.5703125" style="1" customWidth="1"/>
    <col min="3350" max="3593" width="12.5703125" style="1"/>
    <col min="3594" max="3594" width="3.5703125" style="1" customWidth="1"/>
    <col min="3595" max="3595" width="57.28515625" style="1" customWidth="1"/>
    <col min="3596" max="3596" width="13.5703125" style="1" customWidth="1"/>
    <col min="3597" max="3597" width="14.5703125" style="1" customWidth="1"/>
    <col min="3598" max="3598" width="12.5703125" style="1"/>
    <col min="3599" max="3599" width="16.42578125" style="1" customWidth="1"/>
    <col min="3600" max="3600" width="14.7109375" style="1" customWidth="1"/>
    <col min="3601" max="3601" width="12.5703125" style="1"/>
    <col min="3602" max="3602" width="12.5703125" style="1" customWidth="1"/>
    <col min="3603" max="3603" width="16.42578125" style="1" customWidth="1"/>
    <col min="3604" max="3604" width="12.5703125" style="1"/>
    <col min="3605" max="3605" width="3.5703125" style="1" customWidth="1"/>
    <col min="3606" max="3849" width="12.5703125" style="1"/>
    <col min="3850" max="3850" width="3.5703125" style="1" customWidth="1"/>
    <col min="3851" max="3851" width="57.28515625" style="1" customWidth="1"/>
    <col min="3852" max="3852" width="13.5703125" style="1" customWidth="1"/>
    <col min="3853" max="3853" width="14.5703125" style="1" customWidth="1"/>
    <col min="3854" max="3854" width="12.5703125" style="1"/>
    <col min="3855" max="3855" width="16.42578125" style="1" customWidth="1"/>
    <col min="3856" max="3856" width="14.7109375" style="1" customWidth="1"/>
    <col min="3857" max="3857" width="12.5703125" style="1"/>
    <col min="3858" max="3858" width="12.5703125" style="1" customWidth="1"/>
    <col min="3859" max="3859" width="16.42578125" style="1" customWidth="1"/>
    <col min="3860" max="3860" width="12.5703125" style="1"/>
    <col min="3861" max="3861" width="3.5703125" style="1" customWidth="1"/>
    <col min="3862" max="4105" width="12.5703125" style="1"/>
    <col min="4106" max="4106" width="3.5703125" style="1" customWidth="1"/>
    <col min="4107" max="4107" width="57.28515625" style="1" customWidth="1"/>
    <col min="4108" max="4108" width="13.5703125" style="1" customWidth="1"/>
    <col min="4109" max="4109" width="14.5703125" style="1" customWidth="1"/>
    <col min="4110" max="4110" width="12.5703125" style="1"/>
    <col min="4111" max="4111" width="16.42578125" style="1" customWidth="1"/>
    <col min="4112" max="4112" width="14.7109375" style="1" customWidth="1"/>
    <col min="4113" max="4113" width="12.5703125" style="1"/>
    <col min="4114" max="4114" width="12.5703125" style="1" customWidth="1"/>
    <col min="4115" max="4115" width="16.42578125" style="1" customWidth="1"/>
    <col min="4116" max="4116" width="12.5703125" style="1"/>
    <col min="4117" max="4117" width="3.5703125" style="1" customWidth="1"/>
    <col min="4118" max="4361" width="12.5703125" style="1"/>
    <col min="4362" max="4362" width="3.5703125" style="1" customWidth="1"/>
    <col min="4363" max="4363" width="57.28515625" style="1" customWidth="1"/>
    <col min="4364" max="4364" width="13.5703125" style="1" customWidth="1"/>
    <col min="4365" max="4365" width="14.5703125" style="1" customWidth="1"/>
    <col min="4366" max="4366" width="12.5703125" style="1"/>
    <col min="4367" max="4367" width="16.42578125" style="1" customWidth="1"/>
    <col min="4368" max="4368" width="14.7109375" style="1" customWidth="1"/>
    <col min="4369" max="4369" width="12.5703125" style="1"/>
    <col min="4370" max="4370" width="12.5703125" style="1" customWidth="1"/>
    <col min="4371" max="4371" width="16.42578125" style="1" customWidth="1"/>
    <col min="4372" max="4372" width="12.5703125" style="1"/>
    <col min="4373" max="4373" width="3.5703125" style="1" customWidth="1"/>
    <col min="4374" max="4617" width="12.5703125" style="1"/>
    <col min="4618" max="4618" width="3.5703125" style="1" customWidth="1"/>
    <col min="4619" max="4619" width="57.28515625" style="1" customWidth="1"/>
    <col min="4620" max="4620" width="13.5703125" style="1" customWidth="1"/>
    <col min="4621" max="4621" width="14.5703125" style="1" customWidth="1"/>
    <col min="4622" max="4622" width="12.5703125" style="1"/>
    <col min="4623" max="4623" width="16.42578125" style="1" customWidth="1"/>
    <col min="4624" max="4624" width="14.7109375" style="1" customWidth="1"/>
    <col min="4625" max="4625" width="12.5703125" style="1"/>
    <col min="4626" max="4626" width="12.5703125" style="1" customWidth="1"/>
    <col min="4627" max="4627" width="16.42578125" style="1" customWidth="1"/>
    <col min="4628" max="4628" width="12.5703125" style="1"/>
    <col min="4629" max="4629" width="3.5703125" style="1" customWidth="1"/>
    <col min="4630" max="4873" width="12.5703125" style="1"/>
    <col min="4874" max="4874" width="3.5703125" style="1" customWidth="1"/>
    <col min="4875" max="4875" width="57.28515625" style="1" customWidth="1"/>
    <col min="4876" max="4876" width="13.5703125" style="1" customWidth="1"/>
    <col min="4877" max="4877" width="14.5703125" style="1" customWidth="1"/>
    <col min="4878" max="4878" width="12.5703125" style="1"/>
    <col min="4879" max="4879" width="16.42578125" style="1" customWidth="1"/>
    <col min="4880" max="4880" width="14.7109375" style="1" customWidth="1"/>
    <col min="4881" max="4881" width="12.5703125" style="1"/>
    <col min="4882" max="4882" width="12.5703125" style="1" customWidth="1"/>
    <col min="4883" max="4883" width="16.42578125" style="1" customWidth="1"/>
    <col min="4884" max="4884" width="12.5703125" style="1"/>
    <col min="4885" max="4885" width="3.5703125" style="1" customWidth="1"/>
    <col min="4886" max="5129" width="12.5703125" style="1"/>
    <col min="5130" max="5130" width="3.5703125" style="1" customWidth="1"/>
    <col min="5131" max="5131" width="57.28515625" style="1" customWidth="1"/>
    <col min="5132" max="5132" width="13.5703125" style="1" customWidth="1"/>
    <col min="5133" max="5133" width="14.5703125" style="1" customWidth="1"/>
    <col min="5134" max="5134" width="12.5703125" style="1"/>
    <col min="5135" max="5135" width="16.42578125" style="1" customWidth="1"/>
    <col min="5136" max="5136" width="14.7109375" style="1" customWidth="1"/>
    <col min="5137" max="5137" width="12.5703125" style="1"/>
    <col min="5138" max="5138" width="12.5703125" style="1" customWidth="1"/>
    <col min="5139" max="5139" width="16.42578125" style="1" customWidth="1"/>
    <col min="5140" max="5140" width="12.5703125" style="1"/>
    <col min="5141" max="5141" width="3.5703125" style="1" customWidth="1"/>
    <col min="5142" max="5385" width="12.5703125" style="1"/>
    <col min="5386" max="5386" width="3.5703125" style="1" customWidth="1"/>
    <col min="5387" max="5387" width="57.28515625" style="1" customWidth="1"/>
    <col min="5388" max="5388" width="13.5703125" style="1" customWidth="1"/>
    <col min="5389" max="5389" width="14.5703125" style="1" customWidth="1"/>
    <col min="5390" max="5390" width="12.5703125" style="1"/>
    <col min="5391" max="5391" width="16.42578125" style="1" customWidth="1"/>
    <col min="5392" max="5392" width="14.7109375" style="1" customWidth="1"/>
    <col min="5393" max="5393" width="12.5703125" style="1"/>
    <col min="5394" max="5394" width="12.5703125" style="1" customWidth="1"/>
    <col min="5395" max="5395" width="16.42578125" style="1" customWidth="1"/>
    <col min="5396" max="5396" width="12.5703125" style="1"/>
    <col min="5397" max="5397" width="3.5703125" style="1" customWidth="1"/>
    <col min="5398" max="5641" width="12.5703125" style="1"/>
    <col min="5642" max="5642" width="3.5703125" style="1" customWidth="1"/>
    <col min="5643" max="5643" width="57.28515625" style="1" customWidth="1"/>
    <col min="5644" max="5644" width="13.5703125" style="1" customWidth="1"/>
    <col min="5645" max="5645" width="14.5703125" style="1" customWidth="1"/>
    <col min="5646" max="5646" width="12.5703125" style="1"/>
    <col min="5647" max="5647" width="16.42578125" style="1" customWidth="1"/>
    <col min="5648" max="5648" width="14.7109375" style="1" customWidth="1"/>
    <col min="5649" max="5649" width="12.5703125" style="1"/>
    <col min="5650" max="5650" width="12.5703125" style="1" customWidth="1"/>
    <col min="5651" max="5651" width="16.42578125" style="1" customWidth="1"/>
    <col min="5652" max="5652" width="12.5703125" style="1"/>
    <col min="5653" max="5653" width="3.5703125" style="1" customWidth="1"/>
    <col min="5654" max="5897" width="12.5703125" style="1"/>
    <col min="5898" max="5898" width="3.5703125" style="1" customWidth="1"/>
    <col min="5899" max="5899" width="57.28515625" style="1" customWidth="1"/>
    <col min="5900" max="5900" width="13.5703125" style="1" customWidth="1"/>
    <col min="5901" max="5901" width="14.5703125" style="1" customWidth="1"/>
    <col min="5902" max="5902" width="12.5703125" style="1"/>
    <col min="5903" max="5903" width="16.42578125" style="1" customWidth="1"/>
    <col min="5904" max="5904" width="14.7109375" style="1" customWidth="1"/>
    <col min="5905" max="5905" width="12.5703125" style="1"/>
    <col min="5906" max="5906" width="12.5703125" style="1" customWidth="1"/>
    <col min="5907" max="5907" width="16.42578125" style="1" customWidth="1"/>
    <col min="5908" max="5908" width="12.5703125" style="1"/>
    <col min="5909" max="5909" width="3.5703125" style="1" customWidth="1"/>
    <col min="5910" max="6153" width="12.5703125" style="1"/>
    <col min="6154" max="6154" width="3.5703125" style="1" customWidth="1"/>
    <col min="6155" max="6155" width="57.28515625" style="1" customWidth="1"/>
    <col min="6156" max="6156" width="13.5703125" style="1" customWidth="1"/>
    <col min="6157" max="6157" width="14.5703125" style="1" customWidth="1"/>
    <col min="6158" max="6158" width="12.5703125" style="1"/>
    <col min="6159" max="6159" width="16.42578125" style="1" customWidth="1"/>
    <col min="6160" max="6160" width="14.7109375" style="1" customWidth="1"/>
    <col min="6161" max="6161" width="12.5703125" style="1"/>
    <col min="6162" max="6162" width="12.5703125" style="1" customWidth="1"/>
    <col min="6163" max="6163" width="16.42578125" style="1" customWidth="1"/>
    <col min="6164" max="6164" width="12.5703125" style="1"/>
    <col min="6165" max="6165" width="3.5703125" style="1" customWidth="1"/>
    <col min="6166" max="6409" width="12.5703125" style="1"/>
    <col min="6410" max="6410" width="3.5703125" style="1" customWidth="1"/>
    <col min="6411" max="6411" width="57.28515625" style="1" customWidth="1"/>
    <col min="6412" max="6412" width="13.5703125" style="1" customWidth="1"/>
    <col min="6413" max="6413" width="14.5703125" style="1" customWidth="1"/>
    <col min="6414" max="6414" width="12.5703125" style="1"/>
    <col min="6415" max="6415" width="16.42578125" style="1" customWidth="1"/>
    <col min="6416" max="6416" width="14.7109375" style="1" customWidth="1"/>
    <col min="6417" max="6417" width="12.5703125" style="1"/>
    <col min="6418" max="6418" width="12.5703125" style="1" customWidth="1"/>
    <col min="6419" max="6419" width="16.42578125" style="1" customWidth="1"/>
    <col min="6420" max="6420" width="12.5703125" style="1"/>
    <col min="6421" max="6421" width="3.5703125" style="1" customWidth="1"/>
    <col min="6422" max="6665" width="12.5703125" style="1"/>
    <col min="6666" max="6666" width="3.5703125" style="1" customWidth="1"/>
    <col min="6667" max="6667" width="57.28515625" style="1" customWidth="1"/>
    <col min="6668" max="6668" width="13.5703125" style="1" customWidth="1"/>
    <col min="6669" max="6669" width="14.5703125" style="1" customWidth="1"/>
    <col min="6670" max="6670" width="12.5703125" style="1"/>
    <col min="6671" max="6671" width="16.42578125" style="1" customWidth="1"/>
    <col min="6672" max="6672" width="14.7109375" style="1" customWidth="1"/>
    <col min="6673" max="6673" width="12.5703125" style="1"/>
    <col min="6674" max="6674" width="12.5703125" style="1" customWidth="1"/>
    <col min="6675" max="6675" width="16.42578125" style="1" customWidth="1"/>
    <col min="6676" max="6676" width="12.5703125" style="1"/>
    <col min="6677" max="6677" width="3.5703125" style="1" customWidth="1"/>
    <col min="6678" max="6921" width="12.5703125" style="1"/>
    <col min="6922" max="6922" width="3.5703125" style="1" customWidth="1"/>
    <col min="6923" max="6923" width="57.28515625" style="1" customWidth="1"/>
    <col min="6924" max="6924" width="13.5703125" style="1" customWidth="1"/>
    <col min="6925" max="6925" width="14.5703125" style="1" customWidth="1"/>
    <col min="6926" max="6926" width="12.5703125" style="1"/>
    <col min="6927" max="6927" width="16.42578125" style="1" customWidth="1"/>
    <col min="6928" max="6928" width="14.7109375" style="1" customWidth="1"/>
    <col min="6929" max="6929" width="12.5703125" style="1"/>
    <col min="6930" max="6930" width="12.5703125" style="1" customWidth="1"/>
    <col min="6931" max="6931" width="16.42578125" style="1" customWidth="1"/>
    <col min="6932" max="6932" width="12.5703125" style="1"/>
    <col min="6933" max="6933" width="3.5703125" style="1" customWidth="1"/>
    <col min="6934" max="7177" width="12.5703125" style="1"/>
    <col min="7178" max="7178" width="3.5703125" style="1" customWidth="1"/>
    <col min="7179" max="7179" width="57.28515625" style="1" customWidth="1"/>
    <col min="7180" max="7180" width="13.5703125" style="1" customWidth="1"/>
    <col min="7181" max="7181" width="14.5703125" style="1" customWidth="1"/>
    <col min="7182" max="7182" width="12.5703125" style="1"/>
    <col min="7183" max="7183" width="16.42578125" style="1" customWidth="1"/>
    <col min="7184" max="7184" width="14.7109375" style="1" customWidth="1"/>
    <col min="7185" max="7185" width="12.5703125" style="1"/>
    <col min="7186" max="7186" width="12.5703125" style="1" customWidth="1"/>
    <col min="7187" max="7187" width="16.42578125" style="1" customWidth="1"/>
    <col min="7188" max="7188" width="12.5703125" style="1"/>
    <col min="7189" max="7189" width="3.5703125" style="1" customWidth="1"/>
    <col min="7190" max="7433" width="12.5703125" style="1"/>
    <col min="7434" max="7434" width="3.5703125" style="1" customWidth="1"/>
    <col min="7435" max="7435" width="57.28515625" style="1" customWidth="1"/>
    <col min="7436" max="7436" width="13.5703125" style="1" customWidth="1"/>
    <col min="7437" max="7437" width="14.5703125" style="1" customWidth="1"/>
    <col min="7438" max="7438" width="12.5703125" style="1"/>
    <col min="7439" max="7439" width="16.42578125" style="1" customWidth="1"/>
    <col min="7440" max="7440" width="14.7109375" style="1" customWidth="1"/>
    <col min="7441" max="7441" width="12.5703125" style="1"/>
    <col min="7442" max="7442" width="12.5703125" style="1" customWidth="1"/>
    <col min="7443" max="7443" width="16.42578125" style="1" customWidth="1"/>
    <col min="7444" max="7444" width="12.5703125" style="1"/>
    <col min="7445" max="7445" width="3.5703125" style="1" customWidth="1"/>
    <col min="7446" max="7689" width="12.5703125" style="1"/>
    <col min="7690" max="7690" width="3.5703125" style="1" customWidth="1"/>
    <col min="7691" max="7691" width="57.28515625" style="1" customWidth="1"/>
    <col min="7692" max="7692" width="13.5703125" style="1" customWidth="1"/>
    <col min="7693" max="7693" width="14.5703125" style="1" customWidth="1"/>
    <col min="7694" max="7694" width="12.5703125" style="1"/>
    <col min="7695" max="7695" width="16.42578125" style="1" customWidth="1"/>
    <col min="7696" max="7696" width="14.7109375" style="1" customWidth="1"/>
    <col min="7697" max="7697" width="12.5703125" style="1"/>
    <col min="7698" max="7698" width="12.5703125" style="1" customWidth="1"/>
    <col min="7699" max="7699" width="16.42578125" style="1" customWidth="1"/>
    <col min="7700" max="7700" width="12.5703125" style="1"/>
    <col min="7701" max="7701" width="3.5703125" style="1" customWidth="1"/>
    <col min="7702" max="7945" width="12.5703125" style="1"/>
    <col min="7946" max="7946" width="3.5703125" style="1" customWidth="1"/>
    <col min="7947" max="7947" width="57.28515625" style="1" customWidth="1"/>
    <col min="7948" max="7948" width="13.5703125" style="1" customWidth="1"/>
    <col min="7949" max="7949" width="14.5703125" style="1" customWidth="1"/>
    <col min="7950" max="7950" width="12.5703125" style="1"/>
    <col min="7951" max="7951" width="16.42578125" style="1" customWidth="1"/>
    <col min="7952" max="7952" width="14.7109375" style="1" customWidth="1"/>
    <col min="7953" max="7953" width="12.5703125" style="1"/>
    <col min="7954" max="7954" width="12.5703125" style="1" customWidth="1"/>
    <col min="7955" max="7955" width="16.42578125" style="1" customWidth="1"/>
    <col min="7956" max="7956" width="12.5703125" style="1"/>
    <col min="7957" max="7957" width="3.5703125" style="1" customWidth="1"/>
    <col min="7958" max="8201" width="12.5703125" style="1"/>
    <col min="8202" max="8202" width="3.5703125" style="1" customWidth="1"/>
    <col min="8203" max="8203" width="57.28515625" style="1" customWidth="1"/>
    <col min="8204" max="8204" width="13.5703125" style="1" customWidth="1"/>
    <col min="8205" max="8205" width="14.5703125" style="1" customWidth="1"/>
    <col min="8206" max="8206" width="12.5703125" style="1"/>
    <col min="8207" max="8207" width="16.42578125" style="1" customWidth="1"/>
    <col min="8208" max="8208" width="14.7109375" style="1" customWidth="1"/>
    <col min="8209" max="8209" width="12.5703125" style="1"/>
    <col min="8210" max="8210" width="12.5703125" style="1" customWidth="1"/>
    <col min="8211" max="8211" width="16.42578125" style="1" customWidth="1"/>
    <col min="8212" max="8212" width="12.5703125" style="1"/>
    <col min="8213" max="8213" width="3.5703125" style="1" customWidth="1"/>
    <col min="8214" max="8457" width="12.5703125" style="1"/>
    <col min="8458" max="8458" width="3.5703125" style="1" customWidth="1"/>
    <col min="8459" max="8459" width="57.28515625" style="1" customWidth="1"/>
    <col min="8460" max="8460" width="13.5703125" style="1" customWidth="1"/>
    <col min="8461" max="8461" width="14.5703125" style="1" customWidth="1"/>
    <col min="8462" max="8462" width="12.5703125" style="1"/>
    <col min="8463" max="8463" width="16.42578125" style="1" customWidth="1"/>
    <col min="8464" max="8464" width="14.7109375" style="1" customWidth="1"/>
    <col min="8465" max="8465" width="12.5703125" style="1"/>
    <col min="8466" max="8466" width="12.5703125" style="1" customWidth="1"/>
    <col min="8467" max="8467" width="16.42578125" style="1" customWidth="1"/>
    <col min="8468" max="8468" width="12.5703125" style="1"/>
    <col min="8469" max="8469" width="3.5703125" style="1" customWidth="1"/>
    <col min="8470" max="8713" width="12.5703125" style="1"/>
    <col min="8714" max="8714" width="3.5703125" style="1" customWidth="1"/>
    <col min="8715" max="8715" width="57.28515625" style="1" customWidth="1"/>
    <col min="8716" max="8716" width="13.5703125" style="1" customWidth="1"/>
    <col min="8717" max="8717" width="14.5703125" style="1" customWidth="1"/>
    <col min="8718" max="8718" width="12.5703125" style="1"/>
    <col min="8719" max="8719" width="16.42578125" style="1" customWidth="1"/>
    <col min="8720" max="8720" width="14.7109375" style="1" customWidth="1"/>
    <col min="8721" max="8721" width="12.5703125" style="1"/>
    <col min="8722" max="8722" width="12.5703125" style="1" customWidth="1"/>
    <col min="8723" max="8723" width="16.42578125" style="1" customWidth="1"/>
    <col min="8724" max="8724" width="12.5703125" style="1"/>
    <col min="8725" max="8725" width="3.5703125" style="1" customWidth="1"/>
    <col min="8726" max="8969" width="12.5703125" style="1"/>
    <col min="8970" max="8970" width="3.5703125" style="1" customWidth="1"/>
    <col min="8971" max="8971" width="57.28515625" style="1" customWidth="1"/>
    <col min="8972" max="8972" width="13.5703125" style="1" customWidth="1"/>
    <col min="8973" max="8973" width="14.5703125" style="1" customWidth="1"/>
    <col min="8974" max="8974" width="12.5703125" style="1"/>
    <col min="8975" max="8975" width="16.42578125" style="1" customWidth="1"/>
    <col min="8976" max="8976" width="14.7109375" style="1" customWidth="1"/>
    <col min="8977" max="8977" width="12.5703125" style="1"/>
    <col min="8978" max="8978" width="12.5703125" style="1" customWidth="1"/>
    <col min="8979" max="8979" width="16.42578125" style="1" customWidth="1"/>
    <col min="8980" max="8980" width="12.5703125" style="1"/>
    <col min="8981" max="8981" width="3.5703125" style="1" customWidth="1"/>
    <col min="8982" max="9225" width="12.5703125" style="1"/>
    <col min="9226" max="9226" width="3.5703125" style="1" customWidth="1"/>
    <col min="9227" max="9227" width="57.28515625" style="1" customWidth="1"/>
    <col min="9228" max="9228" width="13.5703125" style="1" customWidth="1"/>
    <col min="9229" max="9229" width="14.5703125" style="1" customWidth="1"/>
    <col min="9230" max="9230" width="12.5703125" style="1"/>
    <col min="9231" max="9231" width="16.42578125" style="1" customWidth="1"/>
    <col min="9232" max="9232" width="14.7109375" style="1" customWidth="1"/>
    <col min="9233" max="9233" width="12.5703125" style="1"/>
    <col min="9234" max="9234" width="12.5703125" style="1" customWidth="1"/>
    <col min="9235" max="9235" width="16.42578125" style="1" customWidth="1"/>
    <col min="9236" max="9236" width="12.5703125" style="1"/>
    <col min="9237" max="9237" width="3.5703125" style="1" customWidth="1"/>
    <col min="9238" max="9481" width="12.5703125" style="1"/>
    <col min="9482" max="9482" width="3.5703125" style="1" customWidth="1"/>
    <col min="9483" max="9483" width="57.28515625" style="1" customWidth="1"/>
    <col min="9484" max="9484" width="13.5703125" style="1" customWidth="1"/>
    <col min="9485" max="9485" width="14.5703125" style="1" customWidth="1"/>
    <col min="9486" max="9486" width="12.5703125" style="1"/>
    <col min="9487" max="9487" width="16.42578125" style="1" customWidth="1"/>
    <col min="9488" max="9488" width="14.7109375" style="1" customWidth="1"/>
    <col min="9489" max="9489" width="12.5703125" style="1"/>
    <col min="9490" max="9490" width="12.5703125" style="1" customWidth="1"/>
    <col min="9491" max="9491" width="16.42578125" style="1" customWidth="1"/>
    <col min="9492" max="9492" width="12.5703125" style="1"/>
    <col min="9493" max="9493" width="3.5703125" style="1" customWidth="1"/>
    <col min="9494" max="9737" width="12.5703125" style="1"/>
    <col min="9738" max="9738" width="3.5703125" style="1" customWidth="1"/>
    <col min="9739" max="9739" width="57.28515625" style="1" customWidth="1"/>
    <col min="9740" max="9740" width="13.5703125" style="1" customWidth="1"/>
    <col min="9741" max="9741" width="14.5703125" style="1" customWidth="1"/>
    <col min="9742" max="9742" width="12.5703125" style="1"/>
    <col min="9743" max="9743" width="16.42578125" style="1" customWidth="1"/>
    <col min="9744" max="9744" width="14.7109375" style="1" customWidth="1"/>
    <col min="9745" max="9745" width="12.5703125" style="1"/>
    <col min="9746" max="9746" width="12.5703125" style="1" customWidth="1"/>
    <col min="9747" max="9747" width="16.42578125" style="1" customWidth="1"/>
    <col min="9748" max="9748" width="12.5703125" style="1"/>
    <col min="9749" max="9749" width="3.5703125" style="1" customWidth="1"/>
    <col min="9750" max="9993" width="12.5703125" style="1"/>
    <col min="9994" max="9994" width="3.5703125" style="1" customWidth="1"/>
    <col min="9995" max="9995" width="57.28515625" style="1" customWidth="1"/>
    <col min="9996" max="9996" width="13.5703125" style="1" customWidth="1"/>
    <col min="9997" max="9997" width="14.5703125" style="1" customWidth="1"/>
    <col min="9998" max="9998" width="12.5703125" style="1"/>
    <col min="9999" max="9999" width="16.42578125" style="1" customWidth="1"/>
    <col min="10000" max="10000" width="14.7109375" style="1" customWidth="1"/>
    <col min="10001" max="10001" width="12.5703125" style="1"/>
    <col min="10002" max="10002" width="12.5703125" style="1" customWidth="1"/>
    <col min="10003" max="10003" width="16.42578125" style="1" customWidth="1"/>
    <col min="10004" max="10004" width="12.5703125" style="1"/>
    <col min="10005" max="10005" width="3.5703125" style="1" customWidth="1"/>
    <col min="10006" max="10249" width="12.5703125" style="1"/>
    <col min="10250" max="10250" width="3.5703125" style="1" customWidth="1"/>
    <col min="10251" max="10251" width="57.28515625" style="1" customWidth="1"/>
    <col min="10252" max="10252" width="13.5703125" style="1" customWidth="1"/>
    <col min="10253" max="10253" width="14.5703125" style="1" customWidth="1"/>
    <col min="10254" max="10254" width="12.5703125" style="1"/>
    <col min="10255" max="10255" width="16.42578125" style="1" customWidth="1"/>
    <col min="10256" max="10256" width="14.7109375" style="1" customWidth="1"/>
    <col min="10257" max="10257" width="12.5703125" style="1"/>
    <col min="10258" max="10258" width="12.5703125" style="1" customWidth="1"/>
    <col min="10259" max="10259" width="16.42578125" style="1" customWidth="1"/>
    <col min="10260" max="10260" width="12.5703125" style="1"/>
    <col min="10261" max="10261" width="3.5703125" style="1" customWidth="1"/>
    <col min="10262" max="10505" width="12.5703125" style="1"/>
    <col min="10506" max="10506" width="3.5703125" style="1" customWidth="1"/>
    <col min="10507" max="10507" width="57.28515625" style="1" customWidth="1"/>
    <col min="10508" max="10508" width="13.5703125" style="1" customWidth="1"/>
    <col min="10509" max="10509" width="14.5703125" style="1" customWidth="1"/>
    <col min="10510" max="10510" width="12.5703125" style="1"/>
    <col min="10511" max="10511" width="16.42578125" style="1" customWidth="1"/>
    <col min="10512" max="10512" width="14.7109375" style="1" customWidth="1"/>
    <col min="10513" max="10513" width="12.5703125" style="1"/>
    <col min="10514" max="10514" width="12.5703125" style="1" customWidth="1"/>
    <col min="10515" max="10515" width="16.42578125" style="1" customWidth="1"/>
    <col min="10516" max="10516" width="12.5703125" style="1"/>
    <col min="10517" max="10517" width="3.5703125" style="1" customWidth="1"/>
    <col min="10518" max="10761" width="12.5703125" style="1"/>
    <col min="10762" max="10762" width="3.5703125" style="1" customWidth="1"/>
    <col min="10763" max="10763" width="57.28515625" style="1" customWidth="1"/>
    <col min="10764" max="10764" width="13.5703125" style="1" customWidth="1"/>
    <col min="10765" max="10765" width="14.5703125" style="1" customWidth="1"/>
    <col min="10766" max="10766" width="12.5703125" style="1"/>
    <col min="10767" max="10767" width="16.42578125" style="1" customWidth="1"/>
    <col min="10768" max="10768" width="14.7109375" style="1" customWidth="1"/>
    <col min="10769" max="10769" width="12.5703125" style="1"/>
    <col min="10770" max="10770" width="12.5703125" style="1" customWidth="1"/>
    <col min="10771" max="10771" width="16.42578125" style="1" customWidth="1"/>
    <col min="10772" max="10772" width="12.5703125" style="1"/>
    <col min="10773" max="10773" width="3.5703125" style="1" customWidth="1"/>
    <col min="10774" max="11017" width="12.5703125" style="1"/>
    <col min="11018" max="11018" width="3.5703125" style="1" customWidth="1"/>
    <col min="11019" max="11019" width="57.28515625" style="1" customWidth="1"/>
    <col min="11020" max="11020" width="13.5703125" style="1" customWidth="1"/>
    <col min="11021" max="11021" width="14.5703125" style="1" customWidth="1"/>
    <col min="11022" max="11022" width="12.5703125" style="1"/>
    <col min="11023" max="11023" width="16.42578125" style="1" customWidth="1"/>
    <col min="11024" max="11024" width="14.7109375" style="1" customWidth="1"/>
    <col min="11025" max="11025" width="12.5703125" style="1"/>
    <col min="11026" max="11026" width="12.5703125" style="1" customWidth="1"/>
    <col min="11027" max="11027" width="16.42578125" style="1" customWidth="1"/>
    <col min="11028" max="11028" width="12.5703125" style="1"/>
    <col min="11029" max="11029" width="3.5703125" style="1" customWidth="1"/>
    <col min="11030" max="11273" width="12.5703125" style="1"/>
    <col min="11274" max="11274" width="3.5703125" style="1" customWidth="1"/>
    <col min="11275" max="11275" width="57.28515625" style="1" customWidth="1"/>
    <col min="11276" max="11276" width="13.5703125" style="1" customWidth="1"/>
    <col min="11277" max="11277" width="14.5703125" style="1" customWidth="1"/>
    <col min="11278" max="11278" width="12.5703125" style="1"/>
    <col min="11279" max="11279" width="16.42578125" style="1" customWidth="1"/>
    <col min="11280" max="11280" width="14.7109375" style="1" customWidth="1"/>
    <col min="11281" max="11281" width="12.5703125" style="1"/>
    <col min="11282" max="11282" width="12.5703125" style="1" customWidth="1"/>
    <col min="11283" max="11283" width="16.42578125" style="1" customWidth="1"/>
    <col min="11284" max="11284" width="12.5703125" style="1"/>
    <col min="11285" max="11285" width="3.5703125" style="1" customWidth="1"/>
    <col min="11286" max="11529" width="12.5703125" style="1"/>
    <col min="11530" max="11530" width="3.5703125" style="1" customWidth="1"/>
    <col min="11531" max="11531" width="57.28515625" style="1" customWidth="1"/>
    <col min="11532" max="11532" width="13.5703125" style="1" customWidth="1"/>
    <col min="11533" max="11533" width="14.5703125" style="1" customWidth="1"/>
    <col min="11534" max="11534" width="12.5703125" style="1"/>
    <col min="11535" max="11535" width="16.42578125" style="1" customWidth="1"/>
    <col min="11536" max="11536" width="14.7109375" style="1" customWidth="1"/>
    <col min="11537" max="11537" width="12.5703125" style="1"/>
    <col min="11538" max="11538" width="12.5703125" style="1" customWidth="1"/>
    <col min="11539" max="11539" width="16.42578125" style="1" customWidth="1"/>
    <col min="11540" max="11540" width="12.5703125" style="1"/>
    <col min="11541" max="11541" width="3.5703125" style="1" customWidth="1"/>
    <col min="11542" max="11785" width="12.5703125" style="1"/>
    <col min="11786" max="11786" width="3.5703125" style="1" customWidth="1"/>
    <col min="11787" max="11787" width="57.28515625" style="1" customWidth="1"/>
    <col min="11788" max="11788" width="13.5703125" style="1" customWidth="1"/>
    <col min="11789" max="11789" width="14.5703125" style="1" customWidth="1"/>
    <col min="11790" max="11790" width="12.5703125" style="1"/>
    <col min="11791" max="11791" width="16.42578125" style="1" customWidth="1"/>
    <col min="11792" max="11792" width="14.7109375" style="1" customWidth="1"/>
    <col min="11793" max="11793" width="12.5703125" style="1"/>
    <col min="11794" max="11794" width="12.5703125" style="1" customWidth="1"/>
    <col min="11795" max="11795" width="16.42578125" style="1" customWidth="1"/>
    <col min="11796" max="11796" width="12.5703125" style="1"/>
    <col min="11797" max="11797" width="3.5703125" style="1" customWidth="1"/>
    <col min="11798" max="12041" width="12.5703125" style="1"/>
    <col min="12042" max="12042" width="3.5703125" style="1" customWidth="1"/>
    <col min="12043" max="12043" width="57.28515625" style="1" customWidth="1"/>
    <col min="12044" max="12044" width="13.5703125" style="1" customWidth="1"/>
    <col min="12045" max="12045" width="14.5703125" style="1" customWidth="1"/>
    <col min="12046" max="12046" width="12.5703125" style="1"/>
    <col min="12047" max="12047" width="16.42578125" style="1" customWidth="1"/>
    <col min="12048" max="12048" width="14.7109375" style="1" customWidth="1"/>
    <col min="12049" max="12049" width="12.5703125" style="1"/>
    <col min="12050" max="12050" width="12.5703125" style="1" customWidth="1"/>
    <col min="12051" max="12051" width="16.42578125" style="1" customWidth="1"/>
    <col min="12052" max="12052" width="12.5703125" style="1"/>
    <col min="12053" max="12053" width="3.5703125" style="1" customWidth="1"/>
    <col min="12054" max="12297" width="12.5703125" style="1"/>
    <col min="12298" max="12298" width="3.5703125" style="1" customWidth="1"/>
    <col min="12299" max="12299" width="57.28515625" style="1" customWidth="1"/>
    <col min="12300" max="12300" width="13.5703125" style="1" customWidth="1"/>
    <col min="12301" max="12301" width="14.5703125" style="1" customWidth="1"/>
    <col min="12302" max="12302" width="12.5703125" style="1"/>
    <col min="12303" max="12303" width="16.42578125" style="1" customWidth="1"/>
    <col min="12304" max="12304" width="14.7109375" style="1" customWidth="1"/>
    <col min="12305" max="12305" width="12.5703125" style="1"/>
    <col min="12306" max="12306" width="12.5703125" style="1" customWidth="1"/>
    <col min="12307" max="12307" width="16.42578125" style="1" customWidth="1"/>
    <col min="12308" max="12308" width="12.5703125" style="1"/>
    <col min="12309" max="12309" width="3.5703125" style="1" customWidth="1"/>
    <col min="12310" max="12553" width="12.5703125" style="1"/>
    <col min="12554" max="12554" width="3.5703125" style="1" customWidth="1"/>
    <col min="12555" max="12555" width="57.28515625" style="1" customWidth="1"/>
    <col min="12556" max="12556" width="13.5703125" style="1" customWidth="1"/>
    <col min="12557" max="12557" width="14.5703125" style="1" customWidth="1"/>
    <col min="12558" max="12558" width="12.5703125" style="1"/>
    <col min="12559" max="12559" width="16.42578125" style="1" customWidth="1"/>
    <col min="12560" max="12560" width="14.7109375" style="1" customWidth="1"/>
    <col min="12561" max="12561" width="12.5703125" style="1"/>
    <col min="12562" max="12562" width="12.5703125" style="1" customWidth="1"/>
    <col min="12563" max="12563" width="16.42578125" style="1" customWidth="1"/>
    <col min="12564" max="12564" width="12.5703125" style="1"/>
    <col min="12565" max="12565" width="3.5703125" style="1" customWidth="1"/>
    <col min="12566" max="12809" width="12.5703125" style="1"/>
    <col min="12810" max="12810" width="3.5703125" style="1" customWidth="1"/>
    <col min="12811" max="12811" width="57.28515625" style="1" customWidth="1"/>
    <col min="12812" max="12812" width="13.5703125" style="1" customWidth="1"/>
    <col min="12813" max="12813" width="14.5703125" style="1" customWidth="1"/>
    <col min="12814" max="12814" width="12.5703125" style="1"/>
    <col min="12815" max="12815" width="16.42578125" style="1" customWidth="1"/>
    <col min="12816" max="12816" width="14.7109375" style="1" customWidth="1"/>
    <col min="12817" max="12817" width="12.5703125" style="1"/>
    <col min="12818" max="12818" width="12.5703125" style="1" customWidth="1"/>
    <col min="12819" max="12819" width="16.42578125" style="1" customWidth="1"/>
    <col min="12820" max="12820" width="12.5703125" style="1"/>
    <col min="12821" max="12821" width="3.5703125" style="1" customWidth="1"/>
    <col min="12822" max="13065" width="12.5703125" style="1"/>
    <col min="13066" max="13066" width="3.5703125" style="1" customWidth="1"/>
    <col min="13067" max="13067" width="57.28515625" style="1" customWidth="1"/>
    <col min="13068" max="13068" width="13.5703125" style="1" customWidth="1"/>
    <col min="13069" max="13069" width="14.5703125" style="1" customWidth="1"/>
    <col min="13070" max="13070" width="12.5703125" style="1"/>
    <col min="13071" max="13071" width="16.42578125" style="1" customWidth="1"/>
    <col min="13072" max="13072" width="14.7109375" style="1" customWidth="1"/>
    <col min="13073" max="13073" width="12.5703125" style="1"/>
    <col min="13074" max="13074" width="12.5703125" style="1" customWidth="1"/>
    <col min="13075" max="13075" width="16.42578125" style="1" customWidth="1"/>
    <col min="13076" max="13076" width="12.5703125" style="1"/>
    <col min="13077" max="13077" width="3.5703125" style="1" customWidth="1"/>
    <col min="13078" max="13321" width="12.5703125" style="1"/>
    <col min="13322" max="13322" width="3.5703125" style="1" customWidth="1"/>
    <col min="13323" max="13323" width="57.28515625" style="1" customWidth="1"/>
    <col min="13324" max="13324" width="13.5703125" style="1" customWidth="1"/>
    <col min="13325" max="13325" width="14.5703125" style="1" customWidth="1"/>
    <col min="13326" max="13326" width="12.5703125" style="1"/>
    <col min="13327" max="13327" width="16.42578125" style="1" customWidth="1"/>
    <col min="13328" max="13328" width="14.7109375" style="1" customWidth="1"/>
    <col min="13329" max="13329" width="12.5703125" style="1"/>
    <col min="13330" max="13330" width="12.5703125" style="1" customWidth="1"/>
    <col min="13331" max="13331" width="16.42578125" style="1" customWidth="1"/>
    <col min="13332" max="13332" width="12.5703125" style="1"/>
    <col min="13333" max="13333" width="3.5703125" style="1" customWidth="1"/>
    <col min="13334" max="13577" width="12.5703125" style="1"/>
    <col min="13578" max="13578" width="3.5703125" style="1" customWidth="1"/>
    <col min="13579" max="13579" width="57.28515625" style="1" customWidth="1"/>
    <col min="13580" max="13580" width="13.5703125" style="1" customWidth="1"/>
    <col min="13581" max="13581" width="14.5703125" style="1" customWidth="1"/>
    <col min="13582" max="13582" width="12.5703125" style="1"/>
    <col min="13583" max="13583" width="16.42578125" style="1" customWidth="1"/>
    <col min="13584" max="13584" width="14.7109375" style="1" customWidth="1"/>
    <col min="13585" max="13585" width="12.5703125" style="1"/>
    <col min="13586" max="13586" width="12.5703125" style="1" customWidth="1"/>
    <col min="13587" max="13587" width="16.42578125" style="1" customWidth="1"/>
    <col min="13588" max="13588" width="12.5703125" style="1"/>
    <col min="13589" max="13589" width="3.5703125" style="1" customWidth="1"/>
    <col min="13590" max="13833" width="12.5703125" style="1"/>
    <col min="13834" max="13834" width="3.5703125" style="1" customWidth="1"/>
    <col min="13835" max="13835" width="57.28515625" style="1" customWidth="1"/>
    <col min="13836" max="13836" width="13.5703125" style="1" customWidth="1"/>
    <col min="13837" max="13837" width="14.5703125" style="1" customWidth="1"/>
    <col min="13838" max="13838" width="12.5703125" style="1"/>
    <col min="13839" max="13839" width="16.42578125" style="1" customWidth="1"/>
    <col min="13840" max="13840" width="14.7109375" style="1" customWidth="1"/>
    <col min="13841" max="13841" width="12.5703125" style="1"/>
    <col min="13842" max="13842" width="12.5703125" style="1" customWidth="1"/>
    <col min="13843" max="13843" width="16.42578125" style="1" customWidth="1"/>
    <col min="13844" max="13844" width="12.5703125" style="1"/>
    <col min="13845" max="13845" width="3.5703125" style="1" customWidth="1"/>
    <col min="13846" max="14089" width="12.5703125" style="1"/>
    <col min="14090" max="14090" width="3.5703125" style="1" customWidth="1"/>
    <col min="14091" max="14091" width="57.28515625" style="1" customWidth="1"/>
    <col min="14092" max="14092" width="13.5703125" style="1" customWidth="1"/>
    <col min="14093" max="14093" width="14.5703125" style="1" customWidth="1"/>
    <col min="14094" max="14094" width="12.5703125" style="1"/>
    <col min="14095" max="14095" width="16.42578125" style="1" customWidth="1"/>
    <col min="14096" max="14096" width="14.7109375" style="1" customWidth="1"/>
    <col min="14097" max="14097" width="12.5703125" style="1"/>
    <col min="14098" max="14098" width="12.5703125" style="1" customWidth="1"/>
    <col min="14099" max="14099" width="16.42578125" style="1" customWidth="1"/>
    <col min="14100" max="14100" width="12.5703125" style="1"/>
    <col min="14101" max="14101" width="3.5703125" style="1" customWidth="1"/>
    <col min="14102" max="14345" width="12.5703125" style="1"/>
    <col min="14346" max="14346" width="3.5703125" style="1" customWidth="1"/>
    <col min="14347" max="14347" width="57.28515625" style="1" customWidth="1"/>
    <col min="14348" max="14348" width="13.5703125" style="1" customWidth="1"/>
    <col min="14349" max="14349" width="14.5703125" style="1" customWidth="1"/>
    <col min="14350" max="14350" width="12.5703125" style="1"/>
    <col min="14351" max="14351" width="16.42578125" style="1" customWidth="1"/>
    <col min="14352" max="14352" width="14.7109375" style="1" customWidth="1"/>
    <col min="14353" max="14353" width="12.5703125" style="1"/>
    <col min="14354" max="14354" width="12.5703125" style="1" customWidth="1"/>
    <col min="14355" max="14355" width="16.42578125" style="1" customWidth="1"/>
    <col min="14356" max="14356" width="12.5703125" style="1"/>
    <col min="14357" max="14357" width="3.5703125" style="1" customWidth="1"/>
    <col min="14358" max="14601" width="12.5703125" style="1"/>
    <col min="14602" max="14602" width="3.5703125" style="1" customWidth="1"/>
    <col min="14603" max="14603" width="57.28515625" style="1" customWidth="1"/>
    <col min="14604" max="14604" width="13.5703125" style="1" customWidth="1"/>
    <col min="14605" max="14605" width="14.5703125" style="1" customWidth="1"/>
    <col min="14606" max="14606" width="12.5703125" style="1"/>
    <col min="14607" max="14607" width="16.42578125" style="1" customWidth="1"/>
    <col min="14608" max="14608" width="14.7109375" style="1" customWidth="1"/>
    <col min="14609" max="14609" width="12.5703125" style="1"/>
    <col min="14610" max="14610" width="12.5703125" style="1" customWidth="1"/>
    <col min="14611" max="14611" width="16.42578125" style="1" customWidth="1"/>
    <col min="14612" max="14612" width="12.5703125" style="1"/>
    <col min="14613" max="14613" width="3.5703125" style="1" customWidth="1"/>
    <col min="14614" max="14857" width="12.5703125" style="1"/>
    <col min="14858" max="14858" width="3.5703125" style="1" customWidth="1"/>
    <col min="14859" max="14859" width="57.28515625" style="1" customWidth="1"/>
    <col min="14860" max="14860" width="13.5703125" style="1" customWidth="1"/>
    <col min="14861" max="14861" width="14.5703125" style="1" customWidth="1"/>
    <col min="14862" max="14862" width="12.5703125" style="1"/>
    <col min="14863" max="14863" width="16.42578125" style="1" customWidth="1"/>
    <col min="14864" max="14864" width="14.7109375" style="1" customWidth="1"/>
    <col min="14865" max="14865" width="12.5703125" style="1"/>
    <col min="14866" max="14866" width="12.5703125" style="1" customWidth="1"/>
    <col min="14867" max="14867" width="16.42578125" style="1" customWidth="1"/>
    <col min="14868" max="14868" width="12.5703125" style="1"/>
    <col min="14869" max="14869" width="3.5703125" style="1" customWidth="1"/>
    <col min="14870" max="15113" width="12.5703125" style="1"/>
    <col min="15114" max="15114" width="3.5703125" style="1" customWidth="1"/>
    <col min="15115" max="15115" width="57.28515625" style="1" customWidth="1"/>
    <col min="15116" max="15116" width="13.5703125" style="1" customWidth="1"/>
    <col min="15117" max="15117" width="14.5703125" style="1" customWidth="1"/>
    <col min="15118" max="15118" width="12.5703125" style="1"/>
    <col min="15119" max="15119" width="16.42578125" style="1" customWidth="1"/>
    <col min="15120" max="15120" width="14.7109375" style="1" customWidth="1"/>
    <col min="15121" max="15121" width="12.5703125" style="1"/>
    <col min="15122" max="15122" width="12.5703125" style="1" customWidth="1"/>
    <col min="15123" max="15123" width="16.42578125" style="1" customWidth="1"/>
    <col min="15124" max="15124" width="12.5703125" style="1"/>
    <col min="15125" max="15125" width="3.5703125" style="1" customWidth="1"/>
    <col min="15126" max="15369" width="12.5703125" style="1"/>
    <col min="15370" max="15370" width="3.5703125" style="1" customWidth="1"/>
    <col min="15371" max="15371" width="57.28515625" style="1" customWidth="1"/>
    <col min="15372" max="15372" width="13.5703125" style="1" customWidth="1"/>
    <col min="15373" max="15373" width="14.5703125" style="1" customWidth="1"/>
    <col min="15374" max="15374" width="12.5703125" style="1"/>
    <col min="15375" max="15375" width="16.42578125" style="1" customWidth="1"/>
    <col min="15376" max="15376" width="14.7109375" style="1" customWidth="1"/>
    <col min="15377" max="15377" width="12.5703125" style="1"/>
    <col min="15378" max="15378" width="12.5703125" style="1" customWidth="1"/>
    <col min="15379" max="15379" width="16.42578125" style="1" customWidth="1"/>
    <col min="15380" max="15380" width="12.5703125" style="1"/>
    <col min="15381" max="15381" width="3.5703125" style="1" customWidth="1"/>
    <col min="15382" max="15625" width="12.5703125" style="1"/>
    <col min="15626" max="15626" width="3.5703125" style="1" customWidth="1"/>
    <col min="15627" max="15627" width="57.28515625" style="1" customWidth="1"/>
    <col min="15628" max="15628" width="13.5703125" style="1" customWidth="1"/>
    <col min="15629" max="15629" width="14.5703125" style="1" customWidth="1"/>
    <col min="15630" max="15630" width="12.5703125" style="1"/>
    <col min="15631" max="15631" width="16.42578125" style="1" customWidth="1"/>
    <col min="15632" max="15632" width="14.7109375" style="1" customWidth="1"/>
    <col min="15633" max="15633" width="12.5703125" style="1"/>
    <col min="15634" max="15634" width="12.5703125" style="1" customWidth="1"/>
    <col min="15635" max="15635" width="16.42578125" style="1" customWidth="1"/>
    <col min="15636" max="15636" width="12.5703125" style="1"/>
    <col min="15637" max="15637" width="3.5703125" style="1" customWidth="1"/>
    <col min="15638" max="15881" width="12.5703125" style="1"/>
    <col min="15882" max="15882" width="3.5703125" style="1" customWidth="1"/>
    <col min="15883" max="15883" width="57.28515625" style="1" customWidth="1"/>
    <col min="15884" max="15884" width="13.5703125" style="1" customWidth="1"/>
    <col min="15885" max="15885" width="14.5703125" style="1" customWidth="1"/>
    <col min="15886" max="15886" width="12.5703125" style="1"/>
    <col min="15887" max="15887" width="16.42578125" style="1" customWidth="1"/>
    <col min="15888" max="15888" width="14.7109375" style="1" customWidth="1"/>
    <col min="15889" max="15889" width="12.5703125" style="1"/>
    <col min="15890" max="15890" width="12.5703125" style="1" customWidth="1"/>
    <col min="15891" max="15891" width="16.42578125" style="1" customWidth="1"/>
    <col min="15892" max="15892" width="12.5703125" style="1"/>
    <col min="15893" max="15893" width="3.5703125" style="1" customWidth="1"/>
    <col min="15894" max="16137" width="12.5703125" style="1"/>
    <col min="16138" max="16138" width="3.5703125" style="1" customWidth="1"/>
    <col min="16139" max="16139" width="57.28515625" style="1" customWidth="1"/>
    <col min="16140" max="16140" width="13.5703125" style="1" customWidth="1"/>
    <col min="16141" max="16141" width="14.5703125" style="1" customWidth="1"/>
    <col min="16142" max="16142" width="12.5703125" style="1"/>
    <col min="16143" max="16143" width="16.42578125" style="1" customWidth="1"/>
    <col min="16144" max="16144" width="14.7109375" style="1" customWidth="1"/>
    <col min="16145" max="16145" width="12.5703125" style="1"/>
    <col min="16146" max="16146" width="12.5703125" style="1" customWidth="1"/>
    <col min="16147" max="16147" width="16.42578125" style="1" customWidth="1"/>
    <col min="16148" max="16148" width="12.5703125" style="1"/>
    <col min="16149" max="16149" width="3.5703125" style="1" customWidth="1"/>
    <col min="16150" max="16384" width="12.5703125" style="1"/>
  </cols>
  <sheetData>
    <row r="1" spans="2:21" ht="15" customHeight="1" thickBot="1"/>
    <row r="2" spans="2:21" ht="22.5" customHeight="1" thickBot="1">
      <c r="B2" s="252" t="s">
        <v>102</v>
      </c>
      <c r="C2" s="253"/>
      <c r="D2" s="253"/>
      <c r="E2" s="253"/>
      <c r="F2" s="253"/>
      <c r="G2" s="253"/>
      <c r="H2" s="253"/>
      <c r="I2" s="253"/>
      <c r="J2" s="254"/>
      <c r="K2" s="2"/>
      <c r="L2" s="2"/>
      <c r="M2" s="33" t="s">
        <v>98</v>
      </c>
    </row>
    <row r="3" spans="2:21" ht="15" customHeight="1" thickBot="1">
      <c r="B3" s="3"/>
      <c r="C3" s="88"/>
      <c r="D3" s="2"/>
      <c r="E3" s="2"/>
      <c r="F3" s="2"/>
      <c r="G3" s="2"/>
      <c r="H3" s="2"/>
      <c r="I3" s="2"/>
      <c r="J3" s="4"/>
      <c r="K3" s="2"/>
      <c r="L3" s="2"/>
      <c r="M3" s="2"/>
    </row>
    <row r="4" spans="2:21" ht="15" customHeight="1">
      <c r="B4" s="3"/>
      <c r="C4" s="89" t="s">
        <v>101</v>
      </c>
      <c r="D4" s="18"/>
      <c r="E4" s="2"/>
      <c r="F4" s="2"/>
      <c r="G4" s="2"/>
      <c r="H4" s="2"/>
      <c r="I4" s="2"/>
      <c r="J4" s="4"/>
      <c r="K4" s="2"/>
      <c r="L4" s="2"/>
      <c r="M4" s="257" t="s">
        <v>7</v>
      </c>
      <c r="N4" s="258"/>
      <c r="O4" s="259"/>
      <c r="Q4" s="257" t="s">
        <v>6</v>
      </c>
      <c r="R4" s="259"/>
      <c r="T4" s="257" t="s">
        <v>4</v>
      </c>
      <c r="U4" s="259"/>
    </row>
    <row r="5" spans="2:21" ht="15" customHeight="1" thickBot="1">
      <c r="B5" s="3"/>
      <c r="C5" s="90" t="s">
        <v>10</v>
      </c>
      <c r="D5" s="18"/>
      <c r="E5" s="2"/>
      <c r="F5" s="2"/>
      <c r="G5" s="2"/>
      <c r="H5" s="2"/>
      <c r="I5" s="2"/>
      <c r="J5" s="4"/>
      <c r="K5" s="2"/>
      <c r="L5" s="2"/>
      <c r="M5" s="87" t="s">
        <v>67</v>
      </c>
      <c r="N5" s="71" t="s">
        <v>8</v>
      </c>
      <c r="O5" s="73" t="s">
        <v>16</v>
      </c>
      <c r="Q5" s="87" t="s">
        <v>67</v>
      </c>
      <c r="R5" s="72" t="s">
        <v>80</v>
      </c>
      <c r="T5" s="87" t="s">
        <v>67</v>
      </c>
      <c r="U5" s="72" t="s">
        <v>81</v>
      </c>
    </row>
    <row r="6" spans="2:21" ht="15" customHeight="1" thickTop="1">
      <c r="B6" s="3"/>
      <c r="C6" s="90" t="s">
        <v>11</v>
      </c>
      <c r="D6" s="18"/>
      <c r="E6" s="2"/>
      <c r="F6" s="2"/>
      <c r="G6" s="2"/>
      <c r="H6" s="2"/>
      <c r="I6" s="2"/>
      <c r="J6" s="4"/>
      <c r="K6" s="2"/>
      <c r="L6" s="2"/>
      <c r="M6" s="69" t="s">
        <v>68</v>
      </c>
      <c r="N6" s="62">
        <v>13</v>
      </c>
      <c r="O6" s="63">
        <v>1</v>
      </c>
      <c r="Q6" s="69" t="s">
        <v>68</v>
      </c>
      <c r="R6" s="70">
        <f>6.9+(0.14*(P34-60))</f>
        <v>18.100000000000001</v>
      </c>
      <c r="T6" s="69" t="s">
        <v>68</v>
      </c>
      <c r="U6" s="70">
        <v>62</v>
      </c>
    </row>
    <row r="7" spans="2:21" ht="15" customHeight="1" thickBot="1">
      <c r="B7" s="5"/>
      <c r="C7" s="91"/>
      <c r="D7" s="6"/>
      <c r="E7" s="6"/>
      <c r="F7" s="6"/>
      <c r="G7" s="6"/>
      <c r="H7" s="6"/>
      <c r="I7" s="6"/>
      <c r="J7" s="7"/>
      <c r="K7" s="2"/>
      <c r="L7" s="2"/>
      <c r="M7" s="64" t="s">
        <v>69</v>
      </c>
      <c r="N7" s="57">
        <v>10</v>
      </c>
      <c r="O7" s="59">
        <v>2</v>
      </c>
      <c r="Q7" s="64" t="s">
        <v>69</v>
      </c>
      <c r="R7" s="65">
        <f>5.2+(0.05*(P34-60))</f>
        <v>9.1999999999999993</v>
      </c>
      <c r="T7" s="64" t="s">
        <v>69</v>
      </c>
      <c r="U7" s="65">
        <v>66</v>
      </c>
    </row>
    <row r="8" spans="2:21" ht="15" customHeight="1">
      <c r="B8" s="3"/>
      <c r="C8" s="2"/>
      <c r="D8" s="2"/>
      <c r="E8" s="2"/>
      <c r="F8" s="2"/>
      <c r="G8" s="2"/>
      <c r="H8" s="2"/>
      <c r="I8" s="2"/>
      <c r="J8" s="4"/>
      <c r="K8" s="2"/>
      <c r="L8" s="2"/>
      <c r="M8" s="64" t="s">
        <v>70</v>
      </c>
      <c r="N8" s="57">
        <v>7</v>
      </c>
      <c r="O8" s="59">
        <v>3</v>
      </c>
      <c r="Q8" s="64" t="s">
        <v>70</v>
      </c>
      <c r="R8" s="65">
        <f>3.5+(0.06*(P34-60))</f>
        <v>8.3000000000000007</v>
      </c>
      <c r="T8" s="64" t="s">
        <v>70</v>
      </c>
      <c r="U8" s="65">
        <v>68</v>
      </c>
    </row>
    <row r="9" spans="2:21" ht="15" customHeight="1">
      <c r="B9" s="3"/>
      <c r="C9" s="8" t="s">
        <v>0</v>
      </c>
      <c r="D9" s="9"/>
      <c r="E9" s="9"/>
      <c r="F9" s="2"/>
      <c r="G9" s="2"/>
      <c r="H9" s="2"/>
      <c r="I9" s="2"/>
      <c r="J9" s="4"/>
      <c r="K9" s="2"/>
      <c r="L9" s="2"/>
      <c r="M9" s="64" t="s">
        <v>71</v>
      </c>
      <c r="N9" s="58">
        <f>EXP((LN(F13)-12.82+(7261/(F14+460)))/((1216/(F14+460))-0.9672))</f>
        <v>0.50762408517603697</v>
      </c>
      <c r="O9" s="59">
        <v>4</v>
      </c>
      <c r="Q9" s="64" t="s">
        <v>71</v>
      </c>
      <c r="R9" s="65">
        <f>ROUND(EXP(12.82-(0.9672*LN(F43))-(7261-(1216*LN(F43)))/(460+P34)),5)</f>
        <v>0.99999000000000005</v>
      </c>
      <c r="T9" s="64" t="s">
        <v>71</v>
      </c>
      <c r="U9" s="65">
        <v>50</v>
      </c>
    </row>
    <row r="10" spans="2:21" ht="15" customHeight="1">
      <c r="B10" s="3"/>
      <c r="C10" s="8"/>
      <c r="D10" s="9"/>
      <c r="E10" s="9"/>
      <c r="F10" s="2"/>
      <c r="G10" s="2"/>
      <c r="H10" s="2"/>
      <c r="I10" s="2"/>
      <c r="J10" s="4"/>
      <c r="K10" s="2"/>
      <c r="L10" s="2"/>
      <c r="M10" s="64" t="s">
        <v>116</v>
      </c>
      <c r="N10" s="57">
        <v>2.7</v>
      </c>
      <c r="O10" s="59">
        <v>5</v>
      </c>
      <c r="Q10" s="64" t="s">
        <v>72</v>
      </c>
      <c r="R10" s="65">
        <f>1.3+(0.03*(P34-60))</f>
        <v>3.7</v>
      </c>
      <c r="T10" s="64" t="s">
        <v>72</v>
      </c>
      <c r="U10" s="65">
        <v>80</v>
      </c>
    </row>
    <row r="11" spans="2:21" ht="15" customHeight="1">
      <c r="B11" s="3"/>
      <c r="C11" s="10" t="s">
        <v>13</v>
      </c>
      <c r="D11" s="10"/>
      <c r="E11" s="10"/>
      <c r="F11" s="11" t="s">
        <v>14</v>
      </c>
      <c r="G11" s="24" t="s">
        <v>15</v>
      </c>
      <c r="H11" s="24"/>
      <c r="J11" s="4"/>
      <c r="K11" s="2"/>
      <c r="L11" s="2"/>
      <c r="M11" s="64" t="s">
        <v>73</v>
      </c>
      <c r="N11" s="57">
        <v>2.9000000000000001E-2</v>
      </c>
      <c r="O11" s="59">
        <v>6</v>
      </c>
      <c r="Q11" s="64" t="s">
        <v>73</v>
      </c>
      <c r="R11" s="65">
        <f>0.0085+(0.00025*(P34-60))</f>
        <v>2.8500000000000001E-2</v>
      </c>
      <c r="T11" s="64" t="s">
        <v>73</v>
      </c>
      <c r="U11" s="65">
        <v>130</v>
      </c>
    </row>
    <row r="12" spans="2:21" ht="15" customHeight="1">
      <c r="B12" s="3"/>
      <c r="C12" s="1" t="s">
        <v>103</v>
      </c>
      <c r="F12" s="86" t="s">
        <v>71</v>
      </c>
      <c r="G12" s="260" t="s">
        <v>17</v>
      </c>
      <c r="H12" s="260"/>
      <c r="I12" s="260"/>
      <c r="J12" s="4"/>
      <c r="K12" s="2"/>
      <c r="L12" s="2"/>
      <c r="M12" s="64" t="s">
        <v>117</v>
      </c>
      <c r="N12" s="57">
        <v>2.1999999999999999E-2</v>
      </c>
      <c r="O12" s="59">
        <v>7</v>
      </c>
      <c r="Q12" s="64" t="s">
        <v>74</v>
      </c>
      <c r="R12" s="65">
        <f>0.0074+(0.00029*(P34-60))</f>
        <v>3.0599999999999999E-2</v>
      </c>
      <c r="T12" s="64" t="s">
        <v>74</v>
      </c>
      <c r="U12" s="65">
        <v>130</v>
      </c>
    </row>
    <row r="13" spans="2:21" ht="15" customHeight="1" thickBot="1">
      <c r="B13" s="3"/>
      <c r="C13" s="12" t="s">
        <v>21</v>
      </c>
      <c r="D13" s="2"/>
      <c r="E13" s="2"/>
      <c r="F13" s="25">
        <v>1</v>
      </c>
      <c r="G13" s="260" t="s">
        <v>17</v>
      </c>
      <c r="H13" s="260"/>
      <c r="I13" s="260"/>
      <c r="J13" s="4"/>
      <c r="K13" s="2"/>
      <c r="L13" s="2"/>
      <c r="M13" s="67" t="s">
        <v>118</v>
      </c>
      <c r="N13" s="60">
        <v>1.9000000000000001E-4</v>
      </c>
      <c r="O13" s="61">
        <v>8</v>
      </c>
      <c r="Q13" s="67" t="s">
        <v>75</v>
      </c>
      <c r="R13" s="68">
        <f>0.00004+(0.000001*(P34-60))</f>
        <v>1.1999999999999999E-4</v>
      </c>
      <c r="T13" s="67" t="s">
        <v>75</v>
      </c>
      <c r="U13" s="68">
        <v>190</v>
      </c>
    </row>
    <row r="14" spans="2:21" ht="15" customHeight="1" thickBot="1">
      <c r="B14" s="3"/>
      <c r="C14" s="12" t="s">
        <v>22</v>
      </c>
      <c r="D14" s="2"/>
      <c r="E14" s="2"/>
      <c r="F14" s="25">
        <v>140</v>
      </c>
      <c r="G14" s="260" t="s">
        <v>17</v>
      </c>
      <c r="H14" s="260"/>
      <c r="I14" s="260"/>
      <c r="J14" s="4"/>
      <c r="K14" s="2"/>
      <c r="L14" s="2"/>
      <c r="M14" s="2"/>
    </row>
    <row r="15" spans="2:21" ht="15" customHeight="1">
      <c r="B15" s="3"/>
      <c r="C15" s="12" t="s">
        <v>56</v>
      </c>
      <c r="D15" s="2"/>
      <c r="E15" s="2"/>
      <c r="F15" s="25" t="s">
        <v>18</v>
      </c>
      <c r="G15" s="260" t="s">
        <v>17</v>
      </c>
      <c r="H15" s="260"/>
      <c r="I15" s="260"/>
      <c r="J15" s="4"/>
      <c r="K15" s="2"/>
      <c r="L15" s="2"/>
      <c r="M15" s="257" t="s">
        <v>3</v>
      </c>
      <c r="N15" s="258"/>
      <c r="O15" s="259"/>
      <c r="Q15" s="269" t="s">
        <v>111</v>
      </c>
      <c r="R15" s="270"/>
      <c r="S15" s="81"/>
    </row>
    <row r="16" spans="2:21" ht="15" customHeight="1" thickBot="1">
      <c r="B16" s="3"/>
      <c r="C16" s="12" t="s">
        <v>23</v>
      </c>
      <c r="D16" s="2"/>
      <c r="E16" s="2"/>
      <c r="F16" s="25">
        <v>140</v>
      </c>
      <c r="G16" s="260" t="s">
        <v>17</v>
      </c>
      <c r="H16" s="260"/>
      <c r="I16" s="260"/>
      <c r="J16" s="4"/>
      <c r="K16" s="2"/>
      <c r="L16" s="2"/>
      <c r="M16" s="262" t="s">
        <v>76</v>
      </c>
      <c r="N16" s="264" t="s">
        <v>77</v>
      </c>
      <c r="O16" s="265"/>
      <c r="Q16" s="82" t="s">
        <v>115</v>
      </c>
      <c r="R16" s="83" t="s">
        <v>112</v>
      </c>
    </row>
    <row r="17" spans="2:21" ht="15" customHeight="1" thickTop="1" thickBot="1">
      <c r="B17" s="3"/>
      <c r="C17" s="12" t="s">
        <v>55</v>
      </c>
      <c r="D17" s="2"/>
      <c r="E17" s="2"/>
      <c r="F17" s="25" t="s">
        <v>18</v>
      </c>
      <c r="G17" s="260" t="s">
        <v>17</v>
      </c>
      <c r="H17" s="260"/>
      <c r="I17" s="260"/>
      <c r="J17" s="4"/>
      <c r="K17" s="2"/>
      <c r="L17" s="2"/>
      <c r="M17" s="263"/>
      <c r="N17" s="71" t="s">
        <v>78</v>
      </c>
      <c r="O17" s="72" t="s">
        <v>79</v>
      </c>
      <c r="Q17" s="84" t="s">
        <v>113</v>
      </c>
      <c r="R17" s="92">
        <f>IF(F12="Gas RVP 13",O6,IF(F12="Gas RVP 10",O7,IF(F12="Gas RVP 7",O8,IF(F12="Crude Oil",O9,IF(F12="JP-4",O10,IF(F12="Jet Kerosene",O11,IF(F12="Fuel Oil 2",O12,IF(F12="Fuel Oil 6",O13,"Error"))))))))</f>
        <v>4</v>
      </c>
    </row>
    <row r="18" spans="2:21" ht="15" customHeight="1" thickTop="1" thickBot="1">
      <c r="B18" s="3"/>
      <c r="C18" s="12" t="s">
        <v>24</v>
      </c>
      <c r="D18" s="2"/>
      <c r="E18" s="2"/>
      <c r="F18" s="25" t="s">
        <v>19</v>
      </c>
      <c r="G18" s="260" t="s">
        <v>17</v>
      </c>
      <c r="H18" s="260"/>
      <c r="I18" s="260"/>
      <c r="J18" s="4"/>
      <c r="K18" s="2"/>
      <c r="L18" s="2"/>
      <c r="M18" s="69" t="s">
        <v>105</v>
      </c>
      <c r="N18" s="62">
        <v>0.39</v>
      </c>
      <c r="O18" s="70">
        <v>0.49</v>
      </c>
      <c r="Q18" s="85" t="s">
        <v>114</v>
      </c>
      <c r="R18" s="93">
        <f>IF(F33="Spec Aluminum",1,IF(F33="Diff Aluminum",2,IF(F33="Light Gray",3,IF(F33="Medium Gray",4,IF(F33="Red",5,IF(F33="White",6,"Error"))))))</f>
        <v>1</v>
      </c>
    </row>
    <row r="19" spans="2:21" ht="15" customHeight="1">
      <c r="B19" s="3"/>
      <c r="C19" s="13" t="s">
        <v>25</v>
      </c>
      <c r="D19" s="2"/>
      <c r="E19" s="2"/>
      <c r="F19" s="25" t="s">
        <v>18</v>
      </c>
      <c r="G19" s="260" t="s">
        <v>17</v>
      </c>
      <c r="H19" s="260"/>
      <c r="I19" s="260"/>
      <c r="J19" s="4"/>
      <c r="K19" s="2"/>
      <c r="L19" s="2"/>
      <c r="M19" s="64" t="s">
        <v>106</v>
      </c>
      <c r="N19" s="66">
        <v>0.6</v>
      </c>
      <c r="O19" s="65">
        <v>0.68</v>
      </c>
    </row>
    <row r="20" spans="2:21" ht="15" customHeight="1">
      <c r="B20" s="3"/>
      <c r="C20" s="12" t="s">
        <v>26</v>
      </c>
      <c r="D20" s="12"/>
      <c r="E20" s="2"/>
      <c r="F20" s="25">
        <v>0.06</v>
      </c>
      <c r="G20" s="260" t="s">
        <v>20</v>
      </c>
      <c r="H20" s="260"/>
      <c r="I20" s="260"/>
      <c r="J20" s="4"/>
      <c r="K20" s="2"/>
      <c r="L20" s="2"/>
      <c r="M20" s="64" t="s">
        <v>107</v>
      </c>
      <c r="N20" s="57">
        <v>0.54</v>
      </c>
      <c r="O20" s="65">
        <v>0.63</v>
      </c>
    </row>
    <row r="21" spans="2:21" ht="15" customHeight="1" thickBot="1">
      <c r="B21" s="5"/>
      <c r="C21" s="6"/>
      <c r="D21" s="6"/>
      <c r="E21" s="6"/>
      <c r="F21" s="6"/>
      <c r="G21" s="6"/>
      <c r="H21" s="6"/>
      <c r="I21" s="6"/>
      <c r="J21" s="7"/>
      <c r="K21" s="2"/>
      <c r="L21" s="2"/>
      <c r="M21" s="64" t="s">
        <v>108</v>
      </c>
      <c r="N21" s="57">
        <v>0.68</v>
      </c>
      <c r="O21" s="65">
        <v>0.74</v>
      </c>
    </row>
    <row r="22" spans="2:21" ht="15" customHeight="1">
      <c r="B22" s="3"/>
      <c r="C22" s="2"/>
      <c r="D22" s="2"/>
      <c r="E22" s="2"/>
      <c r="F22" s="2"/>
      <c r="G22" s="2"/>
      <c r="H22" s="2"/>
      <c r="I22" s="2"/>
      <c r="J22" s="4"/>
      <c r="K22" s="2"/>
      <c r="L22" s="2"/>
      <c r="M22" s="64" t="s">
        <v>109</v>
      </c>
      <c r="N22" s="57">
        <v>0.89</v>
      </c>
      <c r="O22" s="65">
        <v>0.91</v>
      </c>
    </row>
    <row r="23" spans="2:21" ht="15" customHeight="1" thickBot="1">
      <c r="B23" s="3"/>
      <c r="C23" s="8" t="s">
        <v>1</v>
      </c>
      <c r="D23" s="9"/>
      <c r="E23" s="9"/>
      <c r="F23" s="2"/>
      <c r="G23" s="2"/>
      <c r="H23" s="2"/>
      <c r="I23" s="2"/>
      <c r="J23" s="4"/>
      <c r="K23" s="2"/>
      <c r="L23" s="2"/>
      <c r="M23" s="67" t="s">
        <v>110</v>
      </c>
      <c r="N23" s="60">
        <v>0.17</v>
      </c>
      <c r="O23" s="68">
        <v>0.34</v>
      </c>
    </row>
    <row r="24" spans="2:21" ht="15" customHeight="1" thickBot="1">
      <c r="B24" s="3"/>
      <c r="C24" s="8"/>
      <c r="D24" s="9"/>
      <c r="E24" s="9"/>
      <c r="F24" s="2"/>
      <c r="G24" s="2"/>
      <c r="H24" s="2"/>
      <c r="I24" s="2"/>
      <c r="J24" s="4"/>
      <c r="K24" s="2"/>
      <c r="L24" s="2"/>
      <c r="M24" s="2"/>
    </row>
    <row r="25" spans="2:21" ht="15" customHeight="1">
      <c r="B25" s="3"/>
      <c r="C25" s="10" t="s">
        <v>13</v>
      </c>
      <c r="D25" s="10"/>
      <c r="E25" s="10"/>
      <c r="F25" s="11" t="s">
        <v>14</v>
      </c>
      <c r="G25" s="24" t="s">
        <v>15</v>
      </c>
      <c r="H25" s="24"/>
      <c r="I25" s="2"/>
      <c r="J25" s="4"/>
      <c r="K25" s="2"/>
      <c r="L25" s="2"/>
      <c r="M25" s="266" t="s">
        <v>39</v>
      </c>
      <c r="N25" s="267"/>
      <c r="O25" s="267"/>
      <c r="P25" s="267"/>
      <c r="Q25" s="267"/>
      <c r="R25" s="268"/>
      <c r="S25" s="2"/>
      <c r="T25" s="2"/>
      <c r="U25" s="2"/>
    </row>
    <row r="26" spans="2:21" ht="15" customHeight="1">
      <c r="B26" s="3"/>
      <c r="C26" s="12" t="s">
        <v>50</v>
      </c>
      <c r="D26" s="14"/>
      <c r="E26" s="2"/>
      <c r="F26" s="25">
        <v>21.5</v>
      </c>
      <c r="G26" s="260" t="s">
        <v>17</v>
      </c>
      <c r="H26" s="260"/>
      <c r="I26" s="260"/>
      <c r="J26" s="4"/>
      <c r="K26" s="2"/>
      <c r="L26" s="2"/>
      <c r="M26" s="74"/>
      <c r="N26" s="2"/>
      <c r="O26" s="12"/>
      <c r="P26" s="2"/>
      <c r="Q26" s="2"/>
      <c r="R26" s="4"/>
      <c r="S26" s="2"/>
      <c r="T26" s="2"/>
      <c r="U26" s="2"/>
    </row>
    <row r="27" spans="2:21" ht="15" customHeight="1">
      <c r="B27" s="3"/>
      <c r="C27" s="12" t="s">
        <v>51</v>
      </c>
      <c r="D27" s="2"/>
      <c r="E27" s="2"/>
      <c r="F27" s="79">
        <v>500</v>
      </c>
      <c r="G27" s="260" t="s">
        <v>17</v>
      </c>
      <c r="H27" s="260"/>
      <c r="I27" s="260"/>
      <c r="J27" s="4"/>
      <c r="K27" s="2"/>
      <c r="L27" s="2"/>
      <c r="M27" s="75" t="s">
        <v>40</v>
      </c>
      <c r="N27" s="30"/>
      <c r="O27" s="30"/>
      <c r="P27" s="11" t="s">
        <v>14</v>
      </c>
      <c r="Q27" s="11" t="s">
        <v>15</v>
      </c>
      <c r="R27" s="4"/>
      <c r="S27" s="2"/>
      <c r="T27" s="2"/>
      <c r="U27" s="2"/>
    </row>
    <row r="28" spans="2:21" ht="15" customHeight="1">
      <c r="B28" s="3"/>
      <c r="C28" s="12" t="s">
        <v>52</v>
      </c>
      <c r="D28" s="2"/>
      <c r="E28" s="2"/>
      <c r="F28" s="37">
        <f>F27*42</f>
        <v>21000</v>
      </c>
      <c r="G28" s="1" t="s">
        <v>27</v>
      </c>
      <c r="J28" s="4"/>
      <c r="K28" s="2"/>
      <c r="L28" s="2"/>
      <c r="M28" s="76" t="s">
        <v>89</v>
      </c>
      <c r="N28" s="12"/>
      <c r="O28" s="2"/>
      <c r="P28" s="35">
        <f>ROUND(IF(F29="c",F31/3,F31*(0.5+((2*F31/F26)^2)/6)),1)</f>
        <v>0.3</v>
      </c>
      <c r="Q28" s="2" t="s">
        <v>27</v>
      </c>
      <c r="R28" s="4"/>
      <c r="S28" s="2"/>
      <c r="T28" s="2"/>
      <c r="U28" s="2"/>
    </row>
    <row r="29" spans="2:21" ht="15" customHeight="1">
      <c r="B29" s="3"/>
      <c r="C29" s="12" t="s">
        <v>53</v>
      </c>
      <c r="D29" s="14"/>
      <c r="E29" s="2"/>
      <c r="F29" s="25" t="s">
        <v>2</v>
      </c>
      <c r="G29" s="260" t="s">
        <v>17</v>
      </c>
      <c r="H29" s="260"/>
      <c r="I29" s="260"/>
      <c r="J29" s="4"/>
      <c r="K29" s="2"/>
      <c r="L29" s="2"/>
      <c r="M29" s="76" t="s">
        <v>90</v>
      </c>
      <c r="N29" s="12"/>
      <c r="O29" s="2"/>
      <c r="P29" s="37">
        <f>ROUND(PI()*(F26/2)^2*(F30-F32+P28),0)</f>
        <v>1561</v>
      </c>
      <c r="Q29" s="2" t="s">
        <v>42</v>
      </c>
      <c r="R29" s="4"/>
      <c r="S29" s="2"/>
      <c r="T29" s="2"/>
      <c r="U29" s="2"/>
    </row>
    <row r="30" spans="2:21" ht="15" customHeight="1">
      <c r="B30" s="3"/>
      <c r="C30" s="12" t="s">
        <v>29</v>
      </c>
      <c r="D30" s="14"/>
      <c r="E30" s="2"/>
      <c r="F30" s="25">
        <v>8</v>
      </c>
      <c r="G30" s="260" t="s">
        <v>17</v>
      </c>
      <c r="H30" s="260"/>
      <c r="I30" s="260"/>
      <c r="J30" s="4"/>
      <c r="K30" s="2"/>
      <c r="L30" s="2"/>
      <c r="M30" s="76" t="s">
        <v>88</v>
      </c>
      <c r="N30" s="12"/>
      <c r="O30" s="2"/>
      <c r="P30" s="2">
        <f>ROUND(+F42/F28,2)</f>
        <v>365</v>
      </c>
      <c r="Q30" s="2" t="s">
        <v>42</v>
      </c>
      <c r="R30" s="4"/>
      <c r="S30" s="2"/>
      <c r="T30" s="2"/>
      <c r="U30" s="2"/>
    </row>
    <row r="31" spans="2:21" ht="15" customHeight="1">
      <c r="B31" s="3"/>
      <c r="C31" s="12" t="s">
        <v>31</v>
      </c>
      <c r="D31" s="14"/>
      <c r="E31" s="2"/>
      <c r="F31" s="25">
        <v>1</v>
      </c>
      <c r="G31" s="260" t="s">
        <v>30</v>
      </c>
      <c r="H31" s="260"/>
      <c r="I31" s="260"/>
      <c r="J31" s="4"/>
      <c r="K31" s="2"/>
      <c r="L31" s="2"/>
      <c r="M31" s="76" t="s">
        <v>91</v>
      </c>
      <c r="N31" s="12"/>
      <c r="O31" s="2"/>
      <c r="P31" s="2">
        <f>ROUND(IF(P30&lt;=36,1,(P30+180)/(6*P30)),2)</f>
        <v>0.25</v>
      </c>
      <c r="Q31" s="2" t="s">
        <v>42</v>
      </c>
      <c r="R31" s="4"/>
      <c r="S31" s="2"/>
      <c r="T31" s="2"/>
      <c r="U31" s="2"/>
    </row>
    <row r="32" spans="2:21" ht="15" customHeight="1">
      <c r="B32" s="3"/>
      <c r="C32" s="12" t="s">
        <v>54</v>
      </c>
      <c r="D32" s="14"/>
      <c r="E32" s="2"/>
      <c r="F32" s="14">
        <f>IF(F18="yes",F30-1,F30/2)</f>
        <v>4</v>
      </c>
      <c r="G32" s="1" t="s">
        <v>27</v>
      </c>
      <c r="J32" s="4"/>
      <c r="K32" s="2"/>
      <c r="L32" s="2"/>
      <c r="M32" s="76" t="s">
        <v>87</v>
      </c>
      <c r="N32" s="12"/>
      <c r="O32" s="2"/>
      <c r="P32" s="2">
        <f>INDEX(N18:O23,R18,F34)</f>
        <v>0.39</v>
      </c>
      <c r="Q32" s="2" t="s">
        <v>3</v>
      </c>
      <c r="R32" s="4"/>
      <c r="S32" s="2"/>
      <c r="T32" s="2"/>
      <c r="U32" s="2"/>
    </row>
    <row r="33" spans="2:21" ht="15" customHeight="1">
      <c r="B33" s="3"/>
      <c r="C33" s="1" t="s">
        <v>104</v>
      </c>
      <c r="F33" s="86" t="s">
        <v>105</v>
      </c>
      <c r="G33" s="260" t="s">
        <v>17</v>
      </c>
      <c r="H33" s="260"/>
      <c r="I33" s="260"/>
      <c r="J33" s="4"/>
      <c r="K33" s="2"/>
      <c r="L33" s="2"/>
      <c r="M33" s="76" t="s">
        <v>45</v>
      </c>
      <c r="N33" s="12"/>
      <c r="O33" s="2"/>
      <c r="P33" s="12"/>
      <c r="Q33" s="2"/>
      <c r="R33" s="4"/>
      <c r="S33" s="2"/>
      <c r="T33" s="2"/>
      <c r="U33" s="2"/>
    </row>
    <row r="34" spans="2:21" ht="15" customHeight="1">
      <c r="B34" s="3"/>
      <c r="C34" s="12" t="s">
        <v>32</v>
      </c>
      <c r="D34" s="14"/>
      <c r="E34" s="2"/>
      <c r="F34" s="25">
        <v>1</v>
      </c>
      <c r="G34" s="260" t="s">
        <v>20</v>
      </c>
      <c r="H34" s="260"/>
      <c r="I34" s="260"/>
      <c r="J34" s="4"/>
      <c r="K34" s="2"/>
      <c r="L34" s="2"/>
      <c r="M34" s="76" t="s">
        <v>92</v>
      </c>
      <c r="N34" s="2"/>
      <c r="O34" s="2"/>
      <c r="P34" s="34">
        <f>ROUND(IF(F15="yes",+F16,56.24+(16.06*P32)),1)</f>
        <v>140</v>
      </c>
      <c r="Q34" s="2" t="s">
        <v>42</v>
      </c>
      <c r="R34" s="4"/>
      <c r="S34" s="2"/>
      <c r="T34" s="2"/>
      <c r="U34" s="2"/>
    </row>
    <row r="35" spans="2:21" ht="15" customHeight="1">
      <c r="B35" s="3"/>
      <c r="C35" s="13" t="s">
        <v>33</v>
      </c>
      <c r="D35" s="14"/>
      <c r="E35" s="2"/>
      <c r="F35" s="25">
        <v>0.06</v>
      </c>
      <c r="G35" s="261" t="s">
        <v>28</v>
      </c>
      <c r="H35" s="261"/>
      <c r="I35" s="261"/>
      <c r="J35" s="4"/>
      <c r="K35" s="2"/>
      <c r="L35" s="2"/>
      <c r="M35" s="76" t="s">
        <v>86</v>
      </c>
      <c r="N35" s="2"/>
      <c r="O35" s="2"/>
      <c r="P35" s="34">
        <f>460+P34</f>
        <v>600</v>
      </c>
      <c r="Q35" s="12" t="s">
        <v>27</v>
      </c>
      <c r="R35" s="4"/>
      <c r="S35" s="2"/>
      <c r="T35" s="2"/>
      <c r="U35" s="2"/>
    </row>
    <row r="36" spans="2:21" ht="15" customHeight="1" thickBot="1">
      <c r="B36" s="5"/>
      <c r="C36" s="26"/>
      <c r="D36" s="27"/>
      <c r="E36" s="6"/>
      <c r="F36" s="6"/>
      <c r="G36" s="6"/>
      <c r="H36" s="6"/>
      <c r="I36" s="27"/>
      <c r="J36" s="7"/>
      <c r="K36" s="2"/>
      <c r="L36" s="2"/>
      <c r="M36" s="76" t="s">
        <v>85</v>
      </c>
      <c r="N36" s="2"/>
      <c r="O36" s="2"/>
      <c r="P36" s="34">
        <f>P34+(0.25*P42)</f>
        <v>141.25</v>
      </c>
      <c r="Q36" s="2" t="s">
        <v>42</v>
      </c>
      <c r="R36" s="4"/>
      <c r="S36" s="2"/>
      <c r="T36" s="2"/>
      <c r="U36" s="2"/>
    </row>
    <row r="37" spans="2:21" ht="15" customHeight="1">
      <c r="B37" s="3"/>
      <c r="C37" s="2"/>
      <c r="D37" s="2"/>
      <c r="E37" s="2"/>
      <c r="F37" s="2"/>
      <c r="G37" s="2"/>
      <c r="H37" s="2"/>
      <c r="I37" s="2"/>
      <c r="J37" s="4"/>
      <c r="K37" s="2"/>
      <c r="L37" s="2"/>
      <c r="M37" s="76" t="s">
        <v>46</v>
      </c>
      <c r="N37" s="2"/>
      <c r="O37" s="2"/>
      <c r="P37" s="34">
        <f>460+P36</f>
        <v>601.25</v>
      </c>
      <c r="Q37" s="12" t="s">
        <v>27</v>
      </c>
      <c r="R37" s="4"/>
      <c r="S37" s="2"/>
      <c r="T37" s="2"/>
      <c r="U37" s="2"/>
    </row>
    <row r="38" spans="2:21" ht="15" customHeight="1">
      <c r="B38" s="3"/>
      <c r="C38" s="8" t="s">
        <v>5</v>
      </c>
      <c r="D38" s="9"/>
      <c r="E38" s="9"/>
      <c r="F38" s="2"/>
      <c r="G38" s="2"/>
      <c r="H38" s="2"/>
      <c r="I38" s="2"/>
      <c r="J38" s="4"/>
      <c r="K38" s="2"/>
      <c r="L38" s="2"/>
      <c r="M38" s="76" t="s">
        <v>84</v>
      </c>
      <c r="N38" s="2"/>
      <c r="O38" s="2"/>
      <c r="P38" s="34">
        <f>P34-(0.25*P42)</f>
        <v>138.75</v>
      </c>
      <c r="Q38" s="2" t="s">
        <v>42</v>
      </c>
      <c r="R38" s="4"/>
      <c r="S38" s="2"/>
      <c r="T38" s="2"/>
      <c r="U38" s="2"/>
    </row>
    <row r="39" spans="2:21" ht="15" customHeight="1">
      <c r="B39" s="3"/>
      <c r="C39" s="8"/>
      <c r="D39" s="9"/>
      <c r="E39" s="9"/>
      <c r="F39" s="2"/>
      <c r="G39" s="2"/>
      <c r="H39" s="2"/>
      <c r="I39" s="2"/>
      <c r="J39" s="4"/>
      <c r="K39" s="2"/>
      <c r="L39" s="2"/>
      <c r="M39" s="76" t="s">
        <v>93</v>
      </c>
      <c r="N39" s="2"/>
      <c r="O39" s="2"/>
      <c r="P39" s="34">
        <f>460+P38</f>
        <v>598.75</v>
      </c>
      <c r="Q39" s="12" t="s">
        <v>27</v>
      </c>
      <c r="R39" s="4"/>
      <c r="S39" s="2"/>
      <c r="T39" s="2"/>
      <c r="U39" s="2"/>
    </row>
    <row r="40" spans="2:21" ht="15" customHeight="1">
      <c r="B40" s="3"/>
      <c r="C40" s="10" t="s">
        <v>13</v>
      </c>
      <c r="D40" s="10"/>
      <c r="E40" s="10"/>
      <c r="F40" s="11" t="s">
        <v>14</v>
      </c>
      <c r="G40" s="24" t="s">
        <v>15</v>
      </c>
      <c r="H40" s="24"/>
      <c r="I40" s="9"/>
      <c r="J40" s="4"/>
      <c r="K40" s="2"/>
      <c r="L40" s="2"/>
      <c r="M40" s="76" t="s">
        <v>94</v>
      </c>
      <c r="N40" s="12"/>
      <c r="O40" s="2"/>
      <c r="P40" s="34">
        <f>IF(R17=4,0.75,1)</f>
        <v>0.75</v>
      </c>
      <c r="Q40" s="2" t="s">
        <v>42</v>
      </c>
      <c r="R40" s="4"/>
      <c r="S40" s="2"/>
      <c r="T40" s="2"/>
      <c r="U40" s="2"/>
    </row>
    <row r="41" spans="2:21" ht="15" customHeight="1">
      <c r="B41" s="3"/>
      <c r="C41" s="12" t="s">
        <v>36</v>
      </c>
      <c r="D41" s="2"/>
      <c r="E41" s="2"/>
      <c r="F41" s="56">
        <v>500</v>
      </c>
      <c r="G41" s="261" t="s">
        <v>17</v>
      </c>
      <c r="H41" s="261"/>
      <c r="I41" s="261"/>
      <c r="J41" s="4"/>
      <c r="K41" s="2"/>
      <c r="L41" s="2"/>
      <c r="M41" s="76" t="s">
        <v>47</v>
      </c>
      <c r="N41" s="12"/>
      <c r="O41" s="2"/>
      <c r="P41" s="12"/>
      <c r="Q41" s="2"/>
      <c r="R41" s="4"/>
      <c r="S41" s="2"/>
      <c r="T41" s="2"/>
      <c r="U41" s="2"/>
    </row>
    <row r="42" spans="2:21" ht="15" customHeight="1">
      <c r="B42" s="3"/>
      <c r="C42" s="12" t="s">
        <v>37</v>
      </c>
      <c r="D42" s="16"/>
      <c r="E42" s="2"/>
      <c r="F42" s="17">
        <f>F41*42*365</f>
        <v>7665000</v>
      </c>
      <c r="G42" s="2" t="s">
        <v>27</v>
      </c>
      <c r="H42" s="2"/>
      <c r="J42" s="4"/>
      <c r="K42" s="2"/>
      <c r="L42" s="2"/>
      <c r="M42" s="76" t="s">
        <v>48</v>
      </c>
      <c r="N42" s="12"/>
      <c r="O42" s="2"/>
      <c r="P42" s="35">
        <f>ROUND(IF(F15="yes",5,16.56+(45.02*P32)),1)</f>
        <v>5</v>
      </c>
      <c r="Q42" s="2" t="s">
        <v>42</v>
      </c>
      <c r="R42" s="4"/>
      <c r="S42" s="2"/>
      <c r="T42" s="2"/>
      <c r="U42" s="2"/>
    </row>
    <row r="43" spans="2:21" ht="15" customHeight="1">
      <c r="B43" s="3"/>
      <c r="C43" s="12" t="s">
        <v>34</v>
      </c>
      <c r="D43" s="2"/>
      <c r="E43" s="2"/>
      <c r="F43" s="2">
        <f>ROUND(IF(AND(R17&gt;=1,R17&lt;=8),INDEX(N6:N13,R17),"Error: re-enter liquid type"),5)</f>
        <v>0.50761999999999996</v>
      </c>
      <c r="G43" s="2" t="s">
        <v>7</v>
      </c>
      <c r="H43" s="2"/>
      <c r="J43" s="4"/>
      <c r="K43" s="2"/>
      <c r="L43" s="2"/>
      <c r="M43" s="76" t="s">
        <v>95</v>
      </c>
      <c r="N43" s="12"/>
      <c r="O43" s="2"/>
      <c r="P43" s="36">
        <f>ROUND((0.5*(7261-(1216*LN(F43)))*(P42*P45))/((P34+460)^2),6)</f>
        <v>5.6148999999999998E-2</v>
      </c>
      <c r="Q43" s="2" t="s">
        <v>42</v>
      </c>
      <c r="R43" s="4"/>
      <c r="S43" s="2"/>
      <c r="T43" s="2"/>
      <c r="U43" s="2"/>
    </row>
    <row r="44" spans="2:21" ht="15" customHeight="1">
      <c r="B44" s="3"/>
      <c r="C44" s="12" t="s">
        <v>35</v>
      </c>
      <c r="D44" s="12"/>
      <c r="E44" s="2"/>
      <c r="F44" s="29">
        <v>12</v>
      </c>
      <c r="G44" s="261" t="s">
        <v>17</v>
      </c>
      <c r="H44" s="261"/>
      <c r="I44" s="261"/>
      <c r="J44" s="4"/>
      <c r="K44" s="2"/>
      <c r="L44" s="2"/>
      <c r="M44" s="76" t="s">
        <v>49</v>
      </c>
      <c r="N44" s="12"/>
      <c r="O44" s="2"/>
      <c r="P44" s="35">
        <f>IF(AND(R17&gt;=1,R17&lt;=8),INDEX(U6:U13,R17,1),"Error: re-enter liquid type")</f>
        <v>50</v>
      </c>
      <c r="Q44" s="2" t="s">
        <v>4</v>
      </c>
      <c r="R44" s="4"/>
      <c r="S44" s="2"/>
      <c r="T44" s="2"/>
      <c r="U44" s="2"/>
    </row>
    <row r="45" spans="2:21" ht="15" customHeight="1" thickBot="1">
      <c r="B45" s="5"/>
      <c r="C45" s="28"/>
      <c r="D45" s="28"/>
      <c r="E45" s="6"/>
      <c r="F45" s="6"/>
      <c r="G45" s="6"/>
      <c r="H45" s="6"/>
      <c r="I45" s="28"/>
      <c r="J45" s="7"/>
      <c r="K45" s="2"/>
      <c r="L45" s="2"/>
      <c r="M45" s="76" t="s">
        <v>83</v>
      </c>
      <c r="N45" s="12"/>
      <c r="O45" s="2"/>
      <c r="P45" s="36">
        <f>ROUND(INDEX(R6:R13,R17,1),5)</f>
        <v>0.99999000000000005</v>
      </c>
      <c r="Q45" s="2" t="s">
        <v>6</v>
      </c>
      <c r="R45" s="4"/>
      <c r="S45" s="2"/>
      <c r="T45" s="2"/>
      <c r="U45" s="2"/>
    </row>
    <row r="46" spans="2:21" ht="15" customHeight="1">
      <c r="B46" s="3"/>
      <c r="C46" s="12"/>
      <c r="D46" s="12"/>
      <c r="E46" s="12"/>
      <c r="F46" s="2"/>
      <c r="G46" s="2"/>
      <c r="H46" s="2"/>
      <c r="I46" s="2"/>
      <c r="J46" s="4"/>
      <c r="K46" s="2"/>
      <c r="L46" s="2"/>
      <c r="M46" s="76" t="s">
        <v>57</v>
      </c>
      <c r="N46" s="12"/>
      <c r="O46" s="2"/>
      <c r="P46" s="36">
        <f>ROUND(+P44*P45/(10.731*(P34+460)),6)</f>
        <v>7.7660000000000003E-3</v>
      </c>
      <c r="Q46" s="2" t="s">
        <v>42</v>
      </c>
      <c r="R46" s="4"/>
      <c r="S46" s="2"/>
      <c r="T46" s="2"/>
      <c r="U46" s="2"/>
    </row>
    <row r="47" spans="2:21" ht="15" customHeight="1">
      <c r="B47" s="3"/>
      <c r="C47" s="31" t="s">
        <v>12</v>
      </c>
      <c r="D47" s="12"/>
      <c r="E47" s="12"/>
      <c r="F47" s="2"/>
      <c r="G47" s="2"/>
      <c r="H47" s="2"/>
      <c r="I47" s="2"/>
      <c r="J47" s="4"/>
      <c r="K47" s="2"/>
      <c r="L47" s="2"/>
      <c r="M47" s="76" t="s">
        <v>58</v>
      </c>
      <c r="N47" s="12"/>
      <c r="O47" s="2"/>
      <c r="P47" s="36">
        <f>ROUND(((P42)/(P34+460))+((P43-F20)/(14.7-P45)),3)</f>
        <v>8.0000000000000002E-3</v>
      </c>
      <c r="Q47" s="2" t="s">
        <v>42</v>
      </c>
      <c r="R47" s="4"/>
      <c r="S47" s="2"/>
      <c r="T47" s="2"/>
      <c r="U47" s="2"/>
    </row>
    <row r="48" spans="2:21" ht="15" customHeight="1">
      <c r="B48" s="3"/>
      <c r="C48" s="12"/>
      <c r="D48" s="12"/>
      <c r="E48" s="12"/>
      <c r="F48" s="2"/>
      <c r="G48" s="2"/>
      <c r="H48" s="2"/>
      <c r="I48" s="2"/>
      <c r="J48" s="4"/>
      <c r="K48" s="2"/>
      <c r="L48" s="2"/>
      <c r="M48" s="76" t="s">
        <v>96</v>
      </c>
      <c r="N48" s="12"/>
      <c r="O48" s="2"/>
      <c r="P48" s="36">
        <f>ROUND(1/(1+(0.053*P45*(F30-F32+P28))),6)</f>
        <v>0.81440000000000001</v>
      </c>
      <c r="Q48" s="2" t="s">
        <v>42</v>
      </c>
      <c r="R48" s="4"/>
      <c r="S48" s="2"/>
      <c r="T48" s="2"/>
      <c r="U48" s="2"/>
    </row>
    <row r="49" spans="2:21" ht="15" customHeight="1">
      <c r="B49" s="3"/>
      <c r="C49" s="30" t="s">
        <v>13</v>
      </c>
      <c r="D49" s="30"/>
      <c r="E49" s="30"/>
      <c r="F49" s="11" t="s">
        <v>14</v>
      </c>
      <c r="G49" s="11" t="s">
        <v>15</v>
      </c>
      <c r="H49" s="11"/>
      <c r="I49" s="2"/>
      <c r="J49" s="4"/>
      <c r="K49" s="2"/>
      <c r="L49" s="2"/>
      <c r="M49" s="76" t="s">
        <v>97</v>
      </c>
      <c r="N49" s="12"/>
      <c r="O49" s="2"/>
      <c r="P49" s="35">
        <f>ROUND(IF(R17=4,IF(F44&lt;=30,(0.4*F35)+8,IF(F44&lt;=40,(0.7467*F35)+13.27,(1.533*F35)+17.73)),0),1)</f>
        <v>8</v>
      </c>
      <c r="Q49" s="2" t="s">
        <v>42</v>
      </c>
      <c r="R49" s="4"/>
      <c r="S49" s="2"/>
      <c r="T49" s="2"/>
      <c r="U49" s="2"/>
    </row>
    <row r="50" spans="2:21" ht="15" customHeight="1">
      <c r="B50" s="3"/>
      <c r="C50" s="12" t="s">
        <v>43</v>
      </c>
      <c r="D50" s="12"/>
      <c r="E50" s="12"/>
      <c r="F50" s="94">
        <v>0.95</v>
      </c>
      <c r="G50" s="2" t="s">
        <v>38</v>
      </c>
      <c r="H50" s="2"/>
      <c r="I50" s="2"/>
      <c r="J50" s="4"/>
      <c r="K50" s="2"/>
      <c r="L50" s="2"/>
      <c r="M50" s="3" t="s">
        <v>59</v>
      </c>
      <c r="N50" s="2"/>
      <c r="O50" s="2"/>
      <c r="P50" s="36">
        <v>0.308</v>
      </c>
      <c r="Q50" s="2" t="s">
        <v>41</v>
      </c>
      <c r="R50" s="4"/>
      <c r="S50" s="2"/>
      <c r="T50" s="2"/>
      <c r="U50" s="2"/>
    </row>
    <row r="51" spans="2:21" ht="15" customHeight="1" thickBot="1">
      <c r="B51" s="3"/>
      <c r="C51" s="12" t="s">
        <v>44</v>
      </c>
      <c r="D51" s="2"/>
      <c r="E51" s="12"/>
      <c r="F51" s="94">
        <v>0.95</v>
      </c>
      <c r="G51" s="2" t="s">
        <v>38</v>
      </c>
      <c r="H51" s="2"/>
      <c r="I51" s="2"/>
      <c r="J51" s="4"/>
      <c r="K51" s="2"/>
      <c r="L51" s="2"/>
      <c r="M51" s="77" t="s">
        <v>60</v>
      </c>
      <c r="N51" s="28"/>
      <c r="O51" s="6"/>
      <c r="P51" s="78">
        <f>IF(R17=4,0.885,IF(R17=7,0.958,1))</f>
        <v>0.88500000000000001</v>
      </c>
      <c r="Q51" s="6" t="s">
        <v>42</v>
      </c>
      <c r="R51" s="7"/>
      <c r="S51" s="2"/>
      <c r="T51" s="2"/>
      <c r="U51" s="2"/>
    </row>
    <row r="52" spans="2:21" ht="15" customHeight="1" thickBot="1">
      <c r="B52" s="5"/>
      <c r="C52" s="32"/>
      <c r="D52" s="6"/>
      <c r="E52" s="28"/>
      <c r="F52" s="6"/>
      <c r="G52" s="6"/>
      <c r="H52" s="6"/>
      <c r="I52" s="6"/>
      <c r="J52" s="7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2:21" ht="15" customHeight="1">
      <c r="B53" s="3"/>
      <c r="J53" s="4"/>
      <c r="K53" s="2"/>
      <c r="L53" s="2"/>
      <c r="M53" s="2"/>
    </row>
    <row r="54" spans="2:21" ht="15" customHeight="1">
      <c r="B54" s="3"/>
      <c r="C54" s="8" t="s">
        <v>61</v>
      </c>
      <c r="D54" s="9"/>
      <c r="E54" s="2"/>
      <c r="F54" s="2"/>
      <c r="G54" s="2"/>
      <c r="H54" s="2"/>
      <c r="I54" s="2"/>
      <c r="J54" s="4"/>
      <c r="M54" s="2"/>
    </row>
    <row r="55" spans="2:21" ht="15" customHeight="1">
      <c r="B55" s="3"/>
      <c r="C55" s="8"/>
      <c r="D55" s="9"/>
      <c r="E55" s="2"/>
      <c r="F55" s="2"/>
      <c r="G55" s="2"/>
      <c r="H55" s="2"/>
      <c r="I55" s="2"/>
      <c r="J55" s="4"/>
      <c r="M55" s="2"/>
    </row>
    <row r="56" spans="2:21" ht="15" customHeight="1">
      <c r="B56" s="3"/>
      <c r="C56" s="274"/>
      <c r="D56" s="255" t="s">
        <v>119</v>
      </c>
      <c r="E56" s="256"/>
      <c r="F56" s="272" t="s">
        <v>62</v>
      </c>
      <c r="G56" s="273"/>
      <c r="J56" s="4"/>
      <c r="M56" s="2"/>
    </row>
    <row r="57" spans="2:21" ht="15" customHeight="1" thickBot="1">
      <c r="B57" s="3"/>
      <c r="C57" s="275"/>
      <c r="D57" s="38" t="s">
        <v>9</v>
      </c>
      <c r="E57" s="39" t="s">
        <v>66</v>
      </c>
      <c r="F57" s="40" t="s">
        <v>9</v>
      </c>
      <c r="G57" s="38" t="s">
        <v>66</v>
      </c>
      <c r="J57" s="4"/>
      <c r="M57" s="2"/>
    </row>
    <row r="58" spans="2:21" ht="15" customHeight="1" thickTop="1">
      <c r="B58" s="3"/>
      <c r="C58" s="41" t="s">
        <v>63</v>
      </c>
      <c r="D58" s="42">
        <f>(P29*P46*P47*P48*P51)</f>
        <v>6.9899056225152009E-2</v>
      </c>
      <c r="E58" s="43">
        <f>(365*P29*P46*P47*P48*P51)/2000</f>
        <v>1.2756577761090241E-2</v>
      </c>
      <c r="F58" s="44">
        <f>IF(F17="yes",(1-ST_VRU_EFF)*D58,D58)</f>
        <v>3.4949528112576036E-3</v>
      </c>
      <c r="G58" s="42">
        <f>IF(F17="yes",(1-VRU_EFF)*E58,E58)</f>
        <v>6.3782888805451264E-4</v>
      </c>
      <c r="J58" s="4"/>
      <c r="M58" s="2"/>
    </row>
    <row r="59" spans="2:21" ht="15" customHeight="1">
      <c r="B59" s="3"/>
      <c r="C59" s="45" t="s">
        <v>64</v>
      </c>
      <c r="D59" s="46">
        <f>IF(F18="yes",0,(0.001*P44*P45*(F42/42)*P31*P40*P51)/8760)*24</f>
        <v>4.1483960156249999</v>
      </c>
      <c r="E59" s="47">
        <f>IF(F18="yes",0,(0.001*P44*P45*(F42/42)*P31*P40*P51)/2000)</f>
        <v>0.75708227285156249</v>
      </c>
      <c r="F59" s="48">
        <f>IF(F17="yes",(1-ST_VRU_EFF)*D59,D59)</f>
        <v>0.20741980078125019</v>
      </c>
      <c r="G59" s="46">
        <f>IF(F17="yes",(1-VRU_EFF)*E59,E59)</f>
        <v>3.7854113642578159E-2</v>
      </c>
      <c r="J59" s="4"/>
      <c r="M59" s="2"/>
    </row>
    <row r="60" spans="2:21" ht="15" customHeight="1" thickBot="1">
      <c r="B60" s="3"/>
      <c r="C60" s="49" t="s">
        <v>65</v>
      </c>
      <c r="D60" s="50">
        <f>IF(OR(F19="no",F35=0),0,(F42*P49*P46*P50)/(42*8760))*24</f>
        <v>9.5677120000000002</v>
      </c>
      <c r="E60" s="95">
        <f>IF(OR(F19="no",F35=0),0,(F42*P49*P46*P50)/(42*2000))</f>
        <v>1.7461074400000001</v>
      </c>
      <c r="F60" s="51">
        <f>IF(F17="yes",(1-ST_VRU_EFF)*D60,D60)</f>
        <v>0.47838560000000041</v>
      </c>
      <c r="G60" s="50">
        <f>IF(F17="yes",(1-VRU_EFF)*E60,E60)</f>
        <v>8.7305372000000075E-2</v>
      </c>
      <c r="J60" s="4"/>
      <c r="M60" s="2"/>
    </row>
    <row r="61" spans="2:21" ht="15" customHeight="1" thickTop="1">
      <c r="B61" s="3"/>
      <c r="C61" s="52" t="s">
        <v>99</v>
      </c>
      <c r="D61" s="53">
        <f>SUM(D58:D60)</f>
        <v>13.786007071850152</v>
      </c>
      <c r="E61" s="54">
        <f>SUM(E58:E60)</f>
        <v>2.5159462906126526</v>
      </c>
      <c r="F61" s="55">
        <f>SUM(F58:F60)</f>
        <v>0.68930035359250819</v>
      </c>
      <c r="G61" s="53">
        <f>SUM(G58:G60)</f>
        <v>0.12579731453063275</v>
      </c>
      <c r="J61" s="4"/>
      <c r="M61" s="9"/>
      <c r="O61" s="20"/>
      <c r="P61" s="96"/>
    </row>
    <row r="62" spans="2:21" ht="15" customHeight="1">
      <c r="B62" s="3"/>
      <c r="C62" s="2"/>
      <c r="D62" s="2"/>
      <c r="E62" s="2"/>
      <c r="F62" s="14"/>
      <c r="G62" s="14"/>
      <c r="H62" s="14"/>
      <c r="I62" s="14"/>
      <c r="J62" s="97"/>
      <c r="K62" s="14"/>
      <c r="L62" s="14"/>
      <c r="M62" s="14"/>
    </row>
    <row r="63" spans="2:21" ht="15" customHeight="1" thickBot="1">
      <c r="B63" s="5"/>
      <c r="C63" s="98" t="s">
        <v>100</v>
      </c>
      <c r="D63" s="271"/>
      <c r="E63" s="271"/>
      <c r="F63" s="6"/>
      <c r="G63" s="6"/>
      <c r="H63" s="99" t="s">
        <v>82</v>
      </c>
      <c r="I63" s="80"/>
      <c r="J63" s="7"/>
    </row>
    <row r="64" spans="2:21" ht="15" customHeight="1">
      <c r="F64" s="9"/>
      <c r="G64" s="9"/>
      <c r="H64" s="9"/>
      <c r="I64" s="9"/>
      <c r="J64" s="9"/>
      <c r="K64" s="9"/>
      <c r="L64" s="9"/>
      <c r="M64" s="9"/>
    </row>
    <row r="65" spans="6:13" ht="15" customHeight="1">
      <c r="F65" s="9"/>
      <c r="G65" s="9"/>
      <c r="H65" s="9"/>
      <c r="I65" s="9"/>
      <c r="J65" s="9"/>
      <c r="K65" s="9"/>
      <c r="L65" s="9"/>
      <c r="M65" s="9"/>
    </row>
    <row r="66" spans="6:13" ht="15" customHeight="1">
      <c r="F66" s="14"/>
      <c r="G66" s="14"/>
      <c r="H66" s="14"/>
      <c r="I66" s="14"/>
      <c r="J66" s="14"/>
      <c r="K66" s="14"/>
      <c r="L66" s="14"/>
      <c r="M66" s="14"/>
    </row>
    <row r="67" spans="6:13" ht="15" customHeight="1">
      <c r="F67" s="15"/>
      <c r="G67" s="15"/>
      <c r="H67" s="15"/>
      <c r="I67" s="15"/>
      <c r="J67" s="15"/>
      <c r="K67" s="15"/>
      <c r="L67" s="15"/>
      <c r="M67" s="15"/>
    </row>
    <row r="68" spans="6:13" ht="15" customHeight="1">
      <c r="F68" s="14"/>
      <c r="G68" s="14"/>
      <c r="H68" s="14"/>
      <c r="I68" s="14"/>
      <c r="J68" s="14"/>
      <c r="K68" s="14"/>
      <c r="L68" s="14"/>
      <c r="M68" s="14"/>
    </row>
    <row r="69" spans="6:13" ht="15" customHeight="1">
      <c r="F69" s="14"/>
      <c r="G69" s="14"/>
      <c r="H69" s="14"/>
      <c r="I69" s="14"/>
      <c r="J69" s="14"/>
      <c r="K69" s="14"/>
      <c r="L69" s="14"/>
      <c r="M69" s="14"/>
    </row>
    <row r="70" spans="6:13" ht="15" customHeight="1">
      <c r="F70" s="14"/>
      <c r="G70" s="14"/>
      <c r="H70" s="14"/>
      <c r="I70" s="14"/>
      <c r="J70" s="14"/>
      <c r="K70" s="14"/>
      <c r="L70" s="14"/>
      <c r="M70" s="14"/>
    </row>
    <row r="71" spans="6:13" ht="15" customHeight="1">
      <c r="F71" s="14"/>
      <c r="G71" s="14"/>
      <c r="H71" s="14"/>
      <c r="I71" s="14"/>
      <c r="J71" s="14"/>
      <c r="K71" s="14"/>
      <c r="L71" s="14"/>
      <c r="M71" s="14"/>
    </row>
    <row r="72" spans="6:13" ht="15" customHeight="1">
      <c r="F72" s="14"/>
      <c r="G72" s="14"/>
      <c r="H72" s="14"/>
      <c r="I72" s="14"/>
      <c r="J72" s="14"/>
      <c r="K72" s="14"/>
      <c r="L72" s="14"/>
      <c r="M72" s="14"/>
    </row>
    <row r="73" spans="6:13" ht="15" customHeight="1">
      <c r="F73" s="14"/>
      <c r="G73" s="14"/>
      <c r="H73" s="14"/>
      <c r="I73" s="14"/>
      <c r="J73" s="14"/>
      <c r="K73" s="14"/>
      <c r="L73" s="14"/>
      <c r="M73" s="14"/>
    </row>
    <row r="74" spans="6:13" ht="15" customHeight="1">
      <c r="F74" s="14"/>
      <c r="G74" s="14"/>
      <c r="H74" s="14"/>
      <c r="I74" s="14"/>
      <c r="J74" s="14"/>
      <c r="K74" s="14"/>
      <c r="L74" s="14"/>
      <c r="M74" s="14"/>
    </row>
    <row r="75" spans="6:13" ht="15" customHeight="1"/>
    <row r="76" spans="6:13" ht="15" customHeight="1">
      <c r="F76" s="9"/>
      <c r="G76" s="9"/>
      <c r="H76" s="9"/>
      <c r="I76" s="9"/>
      <c r="J76" s="9"/>
      <c r="K76" s="9"/>
      <c r="L76" s="9"/>
      <c r="M76" s="9"/>
    </row>
    <row r="77" spans="6:13" ht="15" customHeight="1">
      <c r="F77" s="9"/>
      <c r="G77" s="9"/>
      <c r="H77" s="9"/>
      <c r="I77" s="9"/>
      <c r="J77" s="9"/>
      <c r="K77" s="9"/>
      <c r="L77" s="9"/>
      <c r="M77" s="9"/>
    </row>
    <row r="78" spans="6:13" ht="15" customHeight="1">
      <c r="F78" s="15"/>
      <c r="G78" s="15"/>
      <c r="H78" s="15"/>
      <c r="I78" s="15"/>
      <c r="J78" s="15"/>
      <c r="K78" s="15"/>
      <c r="L78" s="15"/>
      <c r="M78" s="15"/>
    </row>
    <row r="79" spans="6:13" ht="15" customHeight="1">
      <c r="F79" s="17"/>
      <c r="G79" s="17"/>
      <c r="H79" s="17"/>
      <c r="I79" s="17"/>
      <c r="J79" s="17"/>
      <c r="K79" s="17"/>
      <c r="L79" s="17"/>
      <c r="M79" s="17"/>
    </row>
    <row r="80" spans="6:13" ht="15" customHeight="1">
      <c r="F80" s="2"/>
      <c r="G80" s="2"/>
      <c r="H80" s="2"/>
      <c r="I80" s="2"/>
      <c r="J80" s="2"/>
      <c r="K80" s="2"/>
      <c r="L80" s="2"/>
      <c r="M80" s="2"/>
    </row>
    <row r="81" spans="6:15" ht="15" customHeight="1">
      <c r="F81" s="12"/>
      <c r="G81" s="12"/>
      <c r="H81" s="12"/>
      <c r="I81" s="12"/>
      <c r="J81" s="12"/>
      <c r="K81" s="12"/>
      <c r="L81" s="12"/>
      <c r="M81" s="12"/>
    </row>
    <row r="82" spans="6:15" ht="15" customHeight="1"/>
    <row r="83" spans="6:15" ht="15" customHeight="1">
      <c r="F83" s="9"/>
      <c r="G83" s="9"/>
      <c r="H83" s="9"/>
      <c r="I83" s="9"/>
      <c r="J83" s="9"/>
      <c r="K83" s="9"/>
      <c r="L83" s="9"/>
      <c r="M83" s="9"/>
    </row>
    <row r="84" spans="6:15" ht="15" customHeight="1">
      <c r="F84" s="9"/>
      <c r="G84" s="9"/>
      <c r="H84" s="9"/>
      <c r="I84" s="9"/>
      <c r="J84" s="9"/>
      <c r="K84" s="9"/>
      <c r="L84" s="9"/>
      <c r="M84" s="9"/>
      <c r="O84" s="21"/>
    </row>
    <row r="85" spans="6:15" ht="15" customHeight="1">
      <c r="F85" s="2"/>
      <c r="G85" s="2"/>
      <c r="H85" s="2"/>
      <c r="I85" s="2"/>
      <c r="J85" s="2"/>
      <c r="K85" s="2"/>
      <c r="L85" s="2"/>
      <c r="M85" s="2"/>
    </row>
    <row r="86" spans="6:15" ht="15" customHeight="1">
      <c r="F86" s="15"/>
      <c r="G86" s="15"/>
      <c r="H86" s="15"/>
      <c r="I86" s="15"/>
      <c r="J86" s="15"/>
      <c r="K86" s="15"/>
      <c r="L86" s="15"/>
      <c r="M86" s="15"/>
    </row>
    <row r="87" spans="6:15" ht="15" customHeight="1">
      <c r="F87" s="2"/>
      <c r="G87" s="2"/>
      <c r="H87" s="2"/>
      <c r="I87" s="2"/>
      <c r="J87" s="2"/>
      <c r="K87" s="2"/>
      <c r="L87" s="2"/>
      <c r="M87" s="2"/>
    </row>
    <row r="88" spans="6:15" ht="15" customHeight="1">
      <c r="F88" s="2"/>
      <c r="G88" s="2"/>
      <c r="H88" s="2"/>
      <c r="I88" s="2"/>
      <c r="J88" s="2"/>
      <c r="K88" s="2"/>
      <c r="L88" s="2"/>
      <c r="M88" s="2"/>
    </row>
    <row r="89" spans="6:15" ht="15" customHeight="1">
      <c r="F89" s="2"/>
      <c r="G89" s="2"/>
      <c r="H89" s="2"/>
      <c r="I89" s="2"/>
      <c r="J89" s="2"/>
      <c r="K89" s="2"/>
      <c r="L89" s="2"/>
      <c r="M89" s="2"/>
    </row>
    <row r="90" spans="6:15" ht="15" customHeight="1">
      <c r="F90" s="12"/>
      <c r="G90" s="12"/>
      <c r="H90" s="12"/>
      <c r="I90" s="12"/>
      <c r="J90" s="12"/>
      <c r="K90" s="12"/>
      <c r="L90" s="12"/>
      <c r="M90" s="12"/>
    </row>
    <row r="91" spans="6:15" ht="15" customHeight="1">
      <c r="F91" s="2"/>
      <c r="G91" s="2"/>
      <c r="H91" s="2"/>
      <c r="I91" s="2"/>
      <c r="J91" s="2"/>
      <c r="K91" s="2"/>
      <c r="L91" s="2"/>
      <c r="M91" s="2"/>
    </row>
    <row r="92" spans="6:15" ht="15" customHeight="1">
      <c r="F92" s="2"/>
      <c r="G92" s="2"/>
      <c r="H92" s="2"/>
      <c r="I92" s="2"/>
      <c r="J92" s="2"/>
      <c r="K92" s="2"/>
      <c r="L92" s="2"/>
      <c r="M92" s="2"/>
    </row>
    <row r="93" spans="6:15" ht="15" customHeight="1">
      <c r="F93" s="2"/>
      <c r="G93" s="2"/>
      <c r="H93" s="2"/>
      <c r="I93" s="2"/>
      <c r="J93" s="2"/>
      <c r="K93" s="2"/>
      <c r="L93" s="2"/>
      <c r="M93" s="2"/>
    </row>
    <row r="94" spans="6:15" ht="15" customHeight="1">
      <c r="F94" s="19"/>
      <c r="G94" s="19"/>
      <c r="H94" s="19"/>
      <c r="I94" s="19"/>
      <c r="J94" s="19"/>
      <c r="K94" s="19"/>
      <c r="L94" s="19"/>
      <c r="M94" s="19"/>
    </row>
    <row r="95" spans="6:15" ht="15" customHeight="1">
      <c r="F95" s="12"/>
      <c r="G95" s="12"/>
      <c r="H95" s="12"/>
      <c r="I95" s="12"/>
      <c r="J95" s="12"/>
      <c r="K95" s="12"/>
      <c r="L95" s="12"/>
      <c r="M95" s="12"/>
    </row>
    <row r="96" spans="6:15" ht="15" customHeight="1">
      <c r="F96" s="2"/>
      <c r="G96" s="2"/>
      <c r="H96" s="2"/>
      <c r="I96" s="2"/>
      <c r="J96" s="2"/>
      <c r="K96" s="2"/>
      <c r="L96" s="2"/>
      <c r="M96" s="2"/>
    </row>
    <row r="97" spans="6:13" ht="15" customHeight="1">
      <c r="F97" s="2"/>
      <c r="G97" s="2"/>
      <c r="H97" s="2"/>
      <c r="I97" s="2"/>
      <c r="J97" s="2"/>
      <c r="K97" s="2"/>
      <c r="L97" s="2"/>
      <c r="M97" s="2"/>
    </row>
    <row r="98" spans="6:13" ht="15" customHeight="1">
      <c r="F98" s="2"/>
      <c r="G98" s="2"/>
      <c r="H98" s="2"/>
      <c r="I98" s="2"/>
      <c r="J98" s="2"/>
      <c r="K98" s="2"/>
      <c r="L98" s="2"/>
      <c r="M98" s="2"/>
    </row>
    <row r="99" spans="6:13" ht="15" customHeight="1">
      <c r="F99" s="2"/>
      <c r="G99" s="2"/>
      <c r="H99" s="2"/>
      <c r="I99" s="2"/>
      <c r="J99" s="2"/>
      <c r="K99" s="2"/>
      <c r="L99" s="2"/>
      <c r="M99" s="2"/>
    </row>
    <row r="100" spans="6:13" ht="15" customHeight="1">
      <c r="F100" s="2"/>
      <c r="G100" s="2"/>
      <c r="H100" s="2"/>
      <c r="I100" s="2"/>
      <c r="J100" s="2"/>
      <c r="K100" s="2"/>
      <c r="L100" s="2"/>
      <c r="M100" s="2"/>
    </row>
    <row r="101" spans="6:13" ht="15" customHeight="1">
      <c r="F101" s="2"/>
      <c r="G101" s="2"/>
      <c r="H101" s="2"/>
      <c r="I101" s="2"/>
      <c r="J101" s="2"/>
      <c r="K101" s="2"/>
      <c r="L101" s="2"/>
      <c r="M101" s="2"/>
    </row>
    <row r="102" spans="6:13" ht="15" customHeight="1">
      <c r="F102" s="2"/>
      <c r="G102" s="2"/>
      <c r="H102" s="2"/>
      <c r="I102" s="2"/>
      <c r="J102" s="2"/>
      <c r="K102" s="2"/>
      <c r="L102" s="2"/>
      <c r="M102" s="2"/>
    </row>
    <row r="103" spans="6:13" ht="15" customHeight="1">
      <c r="F103" s="2"/>
      <c r="G103" s="2"/>
      <c r="H103" s="2"/>
      <c r="I103" s="2"/>
      <c r="J103" s="2"/>
      <c r="K103" s="2"/>
      <c r="L103" s="2"/>
      <c r="M103" s="2"/>
    </row>
    <row r="104" spans="6:13" ht="15" customHeight="1">
      <c r="F104" s="2"/>
      <c r="G104" s="2"/>
      <c r="H104" s="2"/>
      <c r="I104" s="2"/>
      <c r="J104" s="2"/>
      <c r="K104" s="2"/>
      <c r="L104" s="2"/>
      <c r="M104" s="2"/>
    </row>
    <row r="105" spans="6:13" ht="15" customHeight="1">
      <c r="F105" s="2"/>
      <c r="G105" s="2"/>
      <c r="H105" s="2"/>
      <c r="I105" s="2"/>
      <c r="J105" s="2"/>
      <c r="K105" s="2"/>
      <c r="L105" s="2"/>
      <c r="M105" s="2"/>
    </row>
    <row r="106" spans="6:13" ht="15" customHeight="1"/>
    <row r="107" spans="6:13" ht="15" customHeight="1"/>
    <row r="108" spans="6:13" ht="15" customHeight="1"/>
    <row r="109" spans="6:13" ht="15" customHeight="1"/>
    <row r="110" spans="6:13" ht="15" customHeight="1"/>
    <row r="112" spans="6:13" ht="6" customHeight="1"/>
    <row r="115" spans="3:13">
      <c r="C115" s="22"/>
    </row>
    <row r="118" spans="3:13">
      <c r="E118" s="23"/>
      <c r="F118" s="23"/>
      <c r="G118" s="23"/>
      <c r="H118" s="23"/>
      <c r="I118" s="23"/>
      <c r="J118" s="23"/>
      <c r="K118" s="23"/>
      <c r="L118" s="23"/>
      <c r="M118" s="23"/>
    </row>
  </sheetData>
  <sheetProtection password="CA15" sheet="1" objects="1" scenarios="1" selectLockedCells="1"/>
  <mergeCells count="32">
    <mergeCell ref="G44:I44"/>
    <mergeCell ref="D63:E63"/>
    <mergeCell ref="F56:G56"/>
    <mergeCell ref="G20:I20"/>
    <mergeCell ref="C56:C57"/>
    <mergeCell ref="G13:I13"/>
    <mergeCell ref="G14:I14"/>
    <mergeCell ref="G15:I15"/>
    <mergeCell ref="G16:I16"/>
    <mergeCell ref="G41:I41"/>
    <mergeCell ref="Q4:R4"/>
    <mergeCell ref="T4:U4"/>
    <mergeCell ref="M16:M17"/>
    <mergeCell ref="N16:O16"/>
    <mergeCell ref="M25:R25"/>
    <mergeCell ref="Q15:R15"/>
    <mergeCell ref="B2:J2"/>
    <mergeCell ref="D56:E56"/>
    <mergeCell ref="M4:O4"/>
    <mergeCell ref="M15:O15"/>
    <mergeCell ref="G17:I17"/>
    <mergeCell ref="G18:I18"/>
    <mergeCell ref="G19:I19"/>
    <mergeCell ref="G26:I26"/>
    <mergeCell ref="G27:I27"/>
    <mergeCell ref="G29:I29"/>
    <mergeCell ref="G30:I30"/>
    <mergeCell ref="G33:I33"/>
    <mergeCell ref="G31:I31"/>
    <mergeCell ref="G34:I34"/>
    <mergeCell ref="G35:I35"/>
    <mergeCell ref="G12:I12"/>
  </mergeCells>
  <dataValidations count="2">
    <dataValidation type="list" allowBlank="1" showInputMessage="1" showErrorMessage="1" sqref="F12">
      <formula1>LiquidType</formula1>
    </dataValidation>
    <dataValidation type="list" allowBlank="1" showInputMessage="1" showErrorMessage="1" sqref="F33">
      <formula1>PaintColor</formula1>
    </dataValidation>
  </dataValidations>
  <pageMargins left="0.5" right="0.5" top="1" bottom="0.55000000000000004" header="0.5" footer="0.5"/>
  <pageSetup scale="52" orientation="portrait" horizontalDpi="300" verticalDpi="300" r:id="rId1"/>
  <headerFooter alignWithMargins="0"/>
  <ignoredErrors>
    <ignoredError sqref="P38 P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03"/>
  <sheetViews>
    <sheetView showGridLines="0" zoomScale="80" zoomScaleNormal="80" workbookViewId="0">
      <selection activeCell="E46" sqref="E46"/>
    </sheetView>
  </sheetViews>
  <sheetFormatPr defaultRowHeight="14.25"/>
  <cols>
    <col min="1" max="2" width="3.5703125" style="100" customWidth="1"/>
    <col min="3" max="3" width="19.85546875" style="100" customWidth="1"/>
    <col min="4" max="4" width="24" style="100" customWidth="1"/>
    <col min="5" max="5" width="16" style="100" customWidth="1"/>
    <col min="6" max="6" width="25.42578125" style="100" customWidth="1"/>
    <col min="7" max="7" width="17.7109375" style="101" customWidth="1"/>
    <col min="8" max="8" width="27.7109375" style="100" customWidth="1"/>
    <col min="9" max="9" width="3.5703125" style="101" customWidth="1"/>
    <col min="10" max="10" width="9.140625" style="100"/>
    <col min="11" max="11" width="11.85546875" style="100" hidden="1" customWidth="1"/>
    <col min="12" max="12" width="12.42578125" style="100" hidden="1" customWidth="1"/>
    <col min="13" max="13" width="19.5703125" style="100" hidden="1" customWidth="1"/>
    <col min="14" max="14" width="33.28515625" style="100" hidden="1" customWidth="1"/>
    <col min="15" max="15" width="9.140625" style="100" hidden="1" customWidth="1"/>
    <col min="16" max="16" width="41.85546875" style="100" hidden="1" customWidth="1"/>
    <col min="17" max="18" width="15.7109375" style="100" hidden="1" customWidth="1"/>
    <col min="19" max="19" width="20" style="100" hidden="1" customWidth="1"/>
    <col min="20" max="16384" width="9.140625" style="100"/>
  </cols>
  <sheetData>
    <row r="1" spans="2:19" ht="15" customHeight="1" thickBot="1"/>
    <row r="2" spans="2:19" ht="22.5" customHeight="1" thickBot="1">
      <c r="B2" s="289" t="s">
        <v>237</v>
      </c>
      <c r="C2" s="290"/>
      <c r="D2" s="290"/>
      <c r="E2" s="290"/>
      <c r="F2" s="290"/>
      <c r="G2" s="290"/>
      <c r="H2" s="290"/>
      <c r="I2" s="291"/>
      <c r="K2" s="33" t="s">
        <v>236</v>
      </c>
      <c r="L2" s="1"/>
      <c r="M2" s="1"/>
      <c r="N2" s="1"/>
    </row>
    <row r="3" spans="2:19" ht="15" customHeight="1" thickBot="1">
      <c r="B3" s="112"/>
      <c r="C3" s="88"/>
      <c r="D3" s="88"/>
      <c r="E3" s="88"/>
      <c r="F3" s="88"/>
      <c r="G3" s="2"/>
      <c r="H3" s="2"/>
      <c r="I3" s="4"/>
      <c r="K3" s="2"/>
      <c r="L3" s="1"/>
      <c r="M3" s="1"/>
      <c r="N3" s="1"/>
    </row>
    <row r="4" spans="2:19" ht="15" customHeight="1" thickBot="1">
      <c r="B4" s="112"/>
      <c r="C4" s="89" t="s">
        <v>101</v>
      </c>
      <c r="D4" s="239"/>
      <c r="E4" s="238"/>
      <c r="F4" s="104"/>
      <c r="G4" s="104"/>
      <c r="H4" s="2"/>
      <c r="I4" s="4"/>
      <c r="K4" s="284" t="s">
        <v>235</v>
      </c>
      <c r="L4" s="285"/>
      <c r="M4" s="285"/>
      <c r="N4" s="286"/>
      <c r="P4" s="292" t="s">
        <v>234</v>
      </c>
      <c r="Q4" s="293"/>
      <c r="R4" s="293"/>
      <c r="S4" s="294"/>
    </row>
    <row r="5" spans="2:19" ht="15" customHeight="1" thickBot="1">
      <c r="B5" s="112"/>
      <c r="C5" s="90" t="s">
        <v>10</v>
      </c>
      <c r="D5" s="240"/>
      <c r="E5" s="237"/>
      <c r="F5" s="104"/>
      <c r="G5" s="104"/>
      <c r="H5" s="2"/>
      <c r="I5" s="4"/>
      <c r="K5" s="276" t="s">
        <v>233</v>
      </c>
      <c r="L5" s="277"/>
      <c r="M5" s="277"/>
      <c r="N5" s="278"/>
      <c r="P5" s="282" t="s">
        <v>224</v>
      </c>
      <c r="Q5" s="288"/>
      <c r="R5" s="288"/>
      <c r="S5" s="283"/>
    </row>
    <row r="6" spans="2:19" ht="15" customHeight="1" thickBot="1">
      <c r="B6" s="112"/>
      <c r="C6" s="90" t="s">
        <v>11</v>
      </c>
      <c r="D6" s="240"/>
      <c r="E6" s="237"/>
      <c r="F6" s="104"/>
      <c r="G6" s="104"/>
      <c r="H6" s="2"/>
      <c r="I6" s="4"/>
      <c r="K6" s="166" t="s">
        <v>170</v>
      </c>
      <c r="L6" s="165" t="s">
        <v>14</v>
      </c>
      <c r="M6" s="165" t="s">
        <v>169</v>
      </c>
      <c r="N6" s="164" t="s">
        <v>168</v>
      </c>
      <c r="P6" s="236" t="s">
        <v>223</v>
      </c>
      <c r="Q6" s="235" t="s">
        <v>232</v>
      </c>
      <c r="R6" s="234" t="s">
        <v>231</v>
      </c>
      <c r="S6" s="233" t="s">
        <v>226</v>
      </c>
    </row>
    <row r="7" spans="2:19" ht="15" customHeight="1" thickTop="1" thickBot="1">
      <c r="B7" s="108"/>
      <c r="C7" s="232"/>
      <c r="D7" s="232"/>
      <c r="E7" s="232"/>
      <c r="F7" s="232"/>
      <c r="G7" s="6"/>
      <c r="H7" s="6"/>
      <c r="I7" s="7"/>
      <c r="K7" s="156" t="s">
        <v>230</v>
      </c>
      <c r="L7" s="217">
        <f>IF(E13="x",Q7,IF(E17="x",Q11,IF(E21="x",Q15,(IF(E26="x",Q19,(IF(E14="x",Q8,IF(E18="x",Q12,IF(E22="x",Q16,IF(E27="x",Q20,IF(E15="x",Q9,IF(E19="x",Q13,IF(E23="x",Q17,IF(E28="x",Q21,"Error"))))))))))))))</f>
        <v>0.6</v>
      </c>
      <c r="M7" s="217" t="s">
        <v>192</v>
      </c>
      <c r="N7" s="216" t="s">
        <v>225</v>
      </c>
      <c r="P7" s="121" t="s">
        <v>204</v>
      </c>
      <c r="Q7" s="215">
        <v>5.8</v>
      </c>
      <c r="R7" s="228">
        <v>0.3</v>
      </c>
      <c r="S7" s="214">
        <v>2.1</v>
      </c>
    </row>
    <row r="8" spans="2:19" ht="15" customHeight="1">
      <c r="B8" s="112"/>
      <c r="C8" s="81"/>
      <c r="D8" s="81"/>
      <c r="E8" s="81"/>
      <c r="F8" s="81"/>
      <c r="G8" s="81"/>
      <c r="H8" s="81"/>
      <c r="I8" s="201"/>
      <c r="K8" s="149" t="s">
        <v>229</v>
      </c>
      <c r="L8" s="148">
        <f>IF(E13="x",R7,IF(E17="x",R11,IF(E21="x",R15,(IF(E26="x",R19,(IF(E14="x",R8,IF(E18="x",R12,IF(E22="x",R16,IF(E27="x",R20,IF(E15="x",R9,IF(E19="x",R13,IF(E23="x",R17,IF(E28="x",R21,"Error"))))))))))))))</f>
        <v>0.4</v>
      </c>
      <c r="M8" s="148" t="s">
        <v>192</v>
      </c>
      <c r="N8" s="150" t="s">
        <v>225</v>
      </c>
      <c r="P8" s="122" t="s">
        <v>201</v>
      </c>
      <c r="Q8" s="215">
        <v>1.6</v>
      </c>
      <c r="R8" s="228">
        <v>0.3</v>
      </c>
      <c r="S8" s="214">
        <v>1.6</v>
      </c>
    </row>
    <row r="9" spans="2:19" ht="15" customHeight="1">
      <c r="B9" s="112"/>
      <c r="C9" s="81" t="s">
        <v>228</v>
      </c>
      <c r="D9" s="81"/>
      <c r="E9" s="81"/>
      <c r="F9" s="81"/>
      <c r="G9" s="81"/>
      <c r="H9" s="81"/>
      <c r="I9" s="201"/>
      <c r="K9" s="149" t="s">
        <v>227</v>
      </c>
      <c r="L9" s="148">
        <f>E52</f>
        <v>1</v>
      </c>
      <c r="M9" s="148" t="s">
        <v>136</v>
      </c>
      <c r="N9" s="150" t="s">
        <v>17</v>
      </c>
      <c r="P9" s="122" t="s">
        <v>200</v>
      </c>
      <c r="Q9" s="215">
        <v>0.6</v>
      </c>
      <c r="R9" s="228">
        <v>0.4</v>
      </c>
      <c r="S9" s="225">
        <v>1</v>
      </c>
    </row>
    <row r="10" spans="2:19" ht="15" customHeight="1">
      <c r="B10" s="112"/>
      <c r="C10" s="81"/>
      <c r="D10" s="81"/>
      <c r="E10" s="81"/>
      <c r="F10" s="81"/>
      <c r="G10" s="81"/>
      <c r="H10" s="81"/>
      <c r="I10" s="201"/>
      <c r="K10" s="149" t="s">
        <v>226</v>
      </c>
      <c r="L10" s="148">
        <f>IF(E13="x",S7,IF(E17="x",S11,IF(E21="x",S15,(IF(E26="x",S19,(IF(E14="x",S8,IF(E18="x",S12,IF(E22="x",S16,IF(E27="x",S20,IF(E15="x",S9,IF(E19="x",S13,IF(E23="x",S17,IF(E28="x",S21,"Error"))))))))))))))</f>
        <v>1</v>
      </c>
      <c r="M10" s="148" t="s">
        <v>147</v>
      </c>
      <c r="N10" s="150" t="s">
        <v>225</v>
      </c>
      <c r="P10" s="226" t="s">
        <v>221</v>
      </c>
      <c r="Q10" s="228"/>
      <c r="R10" s="228"/>
      <c r="S10" s="214"/>
    </row>
    <row r="11" spans="2:19" ht="15" customHeight="1">
      <c r="B11" s="112"/>
      <c r="C11" s="187" t="s">
        <v>224</v>
      </c>
      <c r="D11" s="187"/>
      <c r="E11" s="187"/>
      <c r="F11" s="104"/>
      <c r="G11" s="103"/>
      <c r="H11" s="81"/>
      <c r="I11" s="201"/>
      <c r="K11" s="149" t="s">
        <v>187</v>
      </c>
      <c r="L11" s="151">
        <f>E42</f>
        <v>100</v>
      </c>
      <c r="M11" s="151" t="s">
        <v>145</v>
      </c>
      <c r="N11" s="150" t="s">
        <v>17</v>
      </c>
      <c r="P11" s="121" t="s">
        <v>204</v>
      </c>
      <c r="Q11" s="228">
        <v>1.6</v>
      </c>
      <c r="R11" s="228">
        <v>0.3</v>
      </c>
      <c r="S11" s="214">
        <v>1.5</v>
      </c>
    </row>
    <row r="12" spans="2:19" ht="15" customHeight="1">
      <c r="B12" s="112"/>
      <c r="C12" s="231" t="s">
        <v>223</v>
      </c>
      <c r="D12" s="231"/>
      <c r="E12" s="231"/>
      <c r="F12" s="103"/>
      <c r="G12" s="230"/>
      <c r="H12" s="229"/>
      <c r="I12" s="201"/>
      <c r="K12" s="149" t="s">
        <v>159</v>
      </c>
      <c r="L12" s="151">
        <f>(Q25/Q26)/(1+(1-(Q25/Q26))^0.5)^2</f>
        <v>0.10355780941504537</v>
      </c>
      <c r="M12" s="148" t="s">
        <v>147</v>
      </c>
      <c r="N12" s="150" t="s">
        <v>158</v>
      </c>
      <c r="P12" s="122" t="s">
        <v>201</v>
      </c>
      <c r="Q12" s="228">
        <v>0.7</v>
      </c>
      <c r="R12" s="228">
        <v>0.3</v>
      </c>
      <c r="S12" s="214">
        <v>1.2</v>
      </c>
    </row>
    <row r="13" spans="2:19" ht="15" customHeight="1">
      <c r="B13" s="112"/>
      <c r="C13" s="130" t="s">
        <v>204</v>
      </c>
      <c r="D13" s="130"/>
      <c r="E13" s="248"/>
      <c r="G13" s="103"/>
      <c r="H13" s="199"/>
      <c r="I13" s="201"/>
      <c r="K13" s="149" t="s">
        <v>151</v>
      </c>
      <c r="L13" s="151">
        <f>E45</f>
        <v>50</v>
      </c>
      <c r="M13" s="151" t="s">
        <v>150</v>
      </c>
      <c r="N13" s="150" t="s">
        <v>17</v>
      </c>
      <c r="P13" s="122" t="s">
        <v>200</v>
      </c>
      <c r="Q13" s="228">
        <v>0.3</v>
      </c>
      <c r="R13" s="228">
        <v>0.6</v>
      </c>
      <c r="S13" s="214">
        <v>0.3</v>
      </c>
    </row>
    <row r="14" spans="2:19" ht="15" customHeight="1" thickBot="1">
      <c r="B14" s="112"/>
      <c r="C14" s="200" t="s">
        <v>201</v>
      </c>
      <c r="D14" s="200"/>
      <c r="E14" s="241"/>
      <c r="G14" s="103"/>
      <c r="H14" s="199"/>
      <c r="I14" s="201"/>
      <c r="K14" s="227" t="s">
        <v>148</v>
      </c>
      <c r="L14" s="147">
        <f>IF(E36="Crude Oil", 0.4, 1)</f>
        <v>0.4</v>
      </c>
      <c r="M14" s="147" t="s">
        <v>147</v>
      </c>
      <c r="N14" s="146" t="s">
        <v>17</v>
      </c>
      <c r="P14" s="226" t="s">
        <v>218</v>
      </c>
      <c r="Q14" s="215"/>
      <c r="R14" s="215"/>
      <c r="S14" s="214"/>
    </row>
    <row r="15" spans="2:19" ht="15" customHeight="1" thickTop="1" thickBot="1">
      <c r="B15" s="112"/>
      <c r="C15" s="200" t="s">
        <v>200</v>
      </c>
      <c r="D15" s="200"/>
      <c r="E15" s="241" t="s">
        <v>238</v>
      </c>
      <c r="G15" s="103"/>
      <c r="H15" s="199"/>
      <c r="I15" s="201"/>
      <c r="K15" s="145" t="s">
        <v>222</v>
      </c>
      <c r="L15" s="177">
        <f>(L7+(L8*(L9^L10)))*L11*L12*L13*L14</f>
        <v>207.11561883009077</v>
      </c>
      <c r="M15" s="143" t="s">
        <v>143</v>
      </c>
      <c r="N15" s="142" t="s">
        <v>27</v>
      </c>
      <c r="P15" s="121" t="s">
        <v>204</v>
      </c>
      <c r="Q15" s="215">
        <v>6.7</v>
      </c>
      <c r="R15" s="215">
        <v>0.2</v>
      </c>
      <c r="S15" s="225">
        <v>3</v>
      </c>
    </row>
    <row r="16" spans="2:19" ht="15" customHeight="1" thickBot="1">
      <c r="B16" s="112"/>
      <c r="C16" s="219" t="s">
        <v>221</v>
      </c>
      <c r="D16" s="219"/>
      <c r="E16" s="199"/>
      <c r="G16" s="199"/>
      <c r="H16" s="199"/>
      <c r="I16" s="201"/>
      <c r="L16" s="202"/>
      <c r="M16" s="202"/>
      <c r="P16" s="122" t="s">
        <v>212</v>
      </c>
      <c r="Q16" s="215">
        <v>3.3</v>
      </c>
      <c r="R16" s="215">
        <v>0.1</v>
      </c>
      <c r="S16" s="225">
        <v>3</v>
      </c>
    </row>
    <row r="17" spans="2:20" ht="15" customHeight="1" thickBot="1">
      <c r="B17" s="112"/>
      <c r="C17" s="130" t="s">
        <v>204</v>
      </c>
      <c r="D17" s="130"/>
      <c r="E17" s="249"/>
      <c r="G17" s="199"/>
      <c r="H17" s="199"/>
      <c r="I17" s="201"/>
      <c r="K17" s="284" t="s">
        <v>220</v>
      </c>
      <c r="L17" s="285"/>
      <c r="M17" s="285"/>
      <c r="N17" s="286"/>
      <c r="P17" s="224" t="s">
        <v>200</v>
      </c>
      <c r="Q17" s="223">
        <v>2.2000000000000002</v>
      </c>
      <c r="R17" s="223">
        <v>3.0000000000000001E-3</v>
      </c>
      <c r="S17" s="222">
        <v>4.3</v>
      </c>
    </row>
    <row r="18" spans="2:20" ht="15" customHeight="1" thickBot="1">
      <c r="B18" s="112"/>
      <c r="C18" s="200" t="s">
        <v>201</v>
      </c>
      <c r="D18" s="200"/>
      <c r="E18" s="241"/>
      <c r="G18" s="199"/>
      <c r="H18" s="199"/>
      <c r="I18" s="201"/>
      <c r="K18" s="276" t="s">
        <v>219</v>
      </c>
      <c r="L18" s="277"/>
      <c r="M18" s="277"/>
      <c r="N18" s="278"/>
      <c r="P18" s="282" t="s">
        <v>207</v>
      </c>
      <c r="Q18" s="288"/>
      <c r="R18" s="288"/>
      <c r="S18" s="283"/>
    </row>
    <row r="19" spans="2:20" ht="15" customHeight="1" thickBot="1">
      <c r="B19" s="112"/>
      <c r="C19" s="200" t="s">
        <v>200</v>
      </c>
      <c r="D19" s="200"/>
      <c r="E19" s="241"/>
      <c r="G19" s="199"/>
      <c r="H19" s="199"/>
      <c r="I19" s="201"/>
      <c r="K19" s="166" t="s">
        <v>170</v>
      </c>
      <c r="L19" s="165" t="s">
        <v>14</v>
      </c>
      <c r="M19" s="165" t="s">
        <v>169</v>
      </c>
      <c r="N19" s="164" t="s">
        <v>168</v>
      </c>
      <c r="P19" s="221" t="s">
        <v>204</v>
      </c>
      <c r="Q19" s="206">
        <v>10.8</v>
      </c>
      <c r="R19" s="206">
        <v>0.4</v>
      </c>
      <c r="S19" s="220">
        <v>2</v>
      </c>
    </row>
    <row r="20" spans="2:20" ht="15" customHeight="1" thickTop="1">
      <c r="B20" s="112"/>
      <c r="C20" s="219" t="s">
        <v>218</v>
      </c>
      <c r="D20" s="219"/>
      <c r="E20" s="199"/>
      <c r="G20" s="103"/>
      <c r="H20" s="103"/>
      <c r="I20" s="201"/>
      <c r="K20" s="156" t="s">
        <v>217</v>
      </c>
      <c r="L20" s="218">
        <f>E47</f>
        <v>7500000</v>
      </c>
      <c r="M20" s="217" t="s">
        <v>216</v>
      </c>
      <c r="N20" s="216" t="s">
        <v>17</v>
      </c>
      <c r="P20" s="121" t="s">
        <v>201</v>
      </c>
      <c r="Q20" s="215">
        <v>9.1999999999999993</v>
      </c>
      <c r="R20" s="215">
        <v>0.2</v>
      </c>
      <c r="S20" s="214">
        <v>1.9</v>
      </c>
    </row>
    <row r="21" spans="2:20" ht="15" customHeight="1" thickBot="1">
      <c r="B21" s="112"/>
      <c r="C21" s="130" t="s">
        <v>204</v>
      </c>
      <c r="D21" s="130"/>
      <c r="E21" s="249"/>
      <c r="G21" s="103"/>
      <c r="H21" s="103"/>
      <c r="I21" s="201"/>
      <c r="K21" s="149" t="s">
        <v>215</v>
      </c>
      <c r="L21" s="213">
        <f>IF(AND(E36="Gasoline",E43="Light Rust"),Q35,IF(AND(E36="Gasoline",E43="Dense Rust"),R35,IF(AND(E36="Gasoline",E43="Gunite Lining"),S35,IF(AND(E36="Single-Component Stocks",E43="Light Rust"),Q36,IF(AND(E36="Single-Component Stocks",E43="Dense Rust"),R36,IF(AND(E36="Single-Component Stocks",E43="Gunite Lining"),S36,IF(AND(E36="Crude Oil",E43="Light Rust"),Q37,IF(AND(E36="Crude Oil",E43="Dense Rust"),R37,IF(AND(E36="Crude Oil",E43="Gunite Lining"),S37,"Error")))))))))</f>
        <v>6.0000000000000001E-3</v>
      </c>
      <c r="M21" s="148" t="s">
        <v>214</v>
      </c>
      <c r="N21" s="150" t="s">
        <v>213</v>
      </c>
      <c r="P21" s="212" t="s">
        <v>200</v>
      </c>
      <c r="Q21" s="204">
        <v>1.1000000000000001</v>
      </c>
      <c r="R21" s="204">
        <v>0.3</v>
      </c>
      <c r="S21" s="211">
        <v>1.5</v>
      </c>
    </row>
    <row r="22" spans="2:20" ht="15" customHeight="1" thickBot="1">
      <c r="B22" s="112"/>
      <c r="C22" s="200" t="s">
        <v>212</v>
      </c>
      <c r="D22" s="200"/>
      <c r="E22" s="241"/>
      <c r="G22" s="103"/>
      <c r="H22" s="103"/>
      <c r="I22" s="201"/>
      <c r="K22" s="149" t="s">
        <v>211</v>
      </c>
      <c r="L22" s="148">
        <f>E46</f>
        <v>6.1</v>
      </c>
      <c r="M22" s="148" t="s">
        <v>155</v>
      </c>
      <c r="N22" s="150" t="s">
        <v>17</v>
      </c>
    </row>
    <row r="23" spans="2:20" ht="15" customHeight="1" thickBot="1">
      <c r="B23" s="112"/>
      <c r="C23" s="200" t="s">
        <v>200</v>
      </c>
      <c r="D23" s="200"/>
      <c r="E23" s="241"/>
      <c r="G23" s="103"/>
      <c r="H23" s="103"/>
      <c r="I23" s="201"/>
      <c r="K23" s="149" t="s">
        <v>187</v>
      </c>
      <c r="L23" s="151">
        <f>E42</f>
        <v>100</v>
      </c>
      <c r="M23" s="186" t="s">
        <v>145</v>
      </c>
      <c r="N23" s="150" t="s">
        <v>17</v>
      </c>
      <c r="P23" s="279" t="s">
        <v>210</v>
      </c>
      <c r="Q23" s="280"/>
      <c r="R23" s="280"/>
      <c r="S23" s="281"/>
    </row>
    <row r="24" spans="2:20" ht="15" customHeight="1" thickBot="1">
      <c r="B24" s="112"/>
      <c r="C24" s="81"/>
      <c r="D24" s="81"/>
      <c r="E24" s="208"/>
      <c r="G24" s="208"/>
      <c r="H24" s="208"/>
      <c r="I24" s="201"/>
      <c r="K24" s="149" t="s">
        <v>209</v>
      </c>
      <c r="L24" s="152" t="str">
        <f>IF(E35="Self-Supporting Fixed Roof","0",IF(E35="External Floating Roof","0",IF(AND(E35="Column-Supported Fixed Roof",0&lt;E42,E42&lt;=85),"1",IF(AND(E35="Column-Supported Fixed Roof",85&lt;E42,E42&lt;=100),"6",IF(AND(E35="Column-Supported Fixed Roof",100&lt;E42,E42&lt;=120),"7",IF(AND(E35="Column-Supported Fixed Roof",120&lt;E42,E42&lt;=135),"8",IF(AND(E35="Column-Supported Fixed Roof",135&lt;E42,E42&lt;=150),"9",IF(AND(E35="Column-Supported Fixed Roof",150&lt;E42,E42&lt;=170),"16",IF(AND(E35="Column-Supported Fixed Roof",170&lt;E42,E42&lt;=190),"19",IF(AND(E35="Column-Supported Fixed Roof",190&lt;E42,E42&lt;=220),"22",IF(AND(E35="Column-Supported Fixed Roof",220&lt;E42,E42&lt;=235),"31",IF(AND(E35="Column-Supported Fixed Roof",235&lt;E42,E42&lt;=270),"37",IF(AND(E35="Column-Supported Fixed Roof",270&lt;E42,E42&lt;=275),"43",IF(AND(E35="Column-Supported Fixed Roof",275&lt;E42,E42&lt;=290),"49",IF(AND(E35="Column-Supported Fixed Roof",290&lt;E42,E42&lt;=330),"61",IF(AND(E35="Column-Supported Fixed Roof",330&lt;E42,E42&lt;=360),"71",IF(AND(E35="Column-Supported Fixed Roof",360&lt;E42,E42&lt;=400),"81","Error")))))))))))))))))</f>
        <v>0</v>
      </c>
      <c r="M24" s="148" t="s">
        <v>147</v>
      </c>
      <c r="N24" s="150" t="s">
        <v>208</v>
      </c>
      <c r="P24" s="166" t="s">
        <v>115</v>
      </c>
      <c r="Q24" s="185" t="s">
        <v>14</v>
      </c>
      <c r="R24" s="185" t="s">
        <v>169</v>
      </c>
      <c r="S24" s="210" t="s">
        <v>168</v>
      </c>
      <c r="T24" s="202"/>
    </row>
    <row r="25" spans="2:20" ht="15" customHeight="1" thickTop="1" thickBot="1">
      <c r="B25" s="112"/>
      <c r="C25" s="187" t="s">
        <v>207</v>
      </c>
      <c r="D25" s="209"/>
      <c r="E25" s="103"/>
      <c r="G25" s="208"/>
      <c r="H25" s="208"/>
      <c r="I25" s="201"/>
      <c r="K25" s="149" t="s">
        <v>206</v>
      </c>
      <c r="L25" s="148">
        <f>E48</f>
        <v>1</v>
      </c>
      <c r="M25" s="151" t="s">
        <v>145</v>
      </c>
      <c r="N25" s="150" t="s">
        <v>17</v>
      </c>
      <c r="P25" s="156" t="s">
        <v>205</v>
      </c>
      <c r="Q25" s="207">
        <f>E44</f>
        <v>5</v>
      </c>
      <c r="R25" s="206" t="s">
        <v>160</v>
      </c>
      <c r="S25" s="205" t="s">
        <v>17</v>
      </c>
      <c r="T25" s="202"/>
    </row>
    <row r="26" spans="2:20" ht="15" customHeight="1" thickTop="1" thickBot="1">
      <c r="B26" s="112"/>
      <c r="C26" s="130" t="s">
        <v>204</v>
      </c>
      <c r="D26" s="130"/>
      <c r="E26" s="248"/>
      <c r="G26" s="103"/>
      <c r="H26" s="103"/>
      <c r="I26" s="201"/>
      <c r="K26" s="145" t="s">
        <v>203</v>
      </c>
      <c r="L26" s="144">
        <f>(0.943*L20*L21*L22/L23)*(1+(L24*L25/L23))</f>
        <v>2588.5349999999999</v>
      </c>
      <c r="M26" s="143" t="s">
        <v>143</v>
      </c>
      <c r="N26" s="142" t="s">
        <v>27</v>
      </c>
      <c r="P26" s="176" t="s">
        <v>202</v>
      </c>
      <c r="Q26" s="204">
        <v>14.7</v>
      </c>
      <c r="R26" s="204" t="s">
        <v>160</v>
      </c>
      <c r="S26" s="203" t="s">
        <v>41</v>
      </c>
      <c r="T26" s="202"/>
    </row>
    <row r="27" spans="2:20" ht="15" customHeight="1" thickBot="1">
      <c r="B27" s="112"/>
      <c r="C27" s="130" t="s">
        <v>201</v>
      </c>
      <c r="D27" s="130"/>
      <c r="E27" s="250"/>
      <c r="G27" s="103"/>
      <c r="H27" s="103"/>
      <c r="I27" s="201"/>
      <c r="K27" s="104"/>
      <c r="L27" s="130"/>
      <c r="M27" s="130"/>
      <c r="N27" s="104"/>
    </row>
    <row r="28" spans="2:20" ht="15" customHeight="1" thickBot="1">
      <c r="B28" s="112"/>
      <c r="C28" s="200" t="s">
        <v>200</v>
      </c>
      <c r="D28" s="200"/>
      <c r="E28" s="241"/>
      <c r="G28" s="103"/>
      <c r="H28" s="103"/>
      <c r="I28" s="201"/>
      <c r="K28" s="284" t="s">
        <v>199</v>
      </c>
      <c r="L28" s="285"/>
      <c r="M28" s="285"/>
      <c r="N28" s="286"/>
      <c r="P28" s="170" t="s">
        <v>198</v>
      </c>
      <c r="R28" s="282" t="s">
        <v>197</v>
      </c>
      <c r="S28" s="283"/>
    </row>
    <row r="29" spans="2:20" ht="15" customHeight="1" thickTop="1" thickBot="1">
      <c r="B29" s="112"/>
      <c r="C29" s="200"/>
      <c r="D29" s="200"/>
      <c r="E29" s="200"/>
      <c r="F29" s="200"/>
      <c r="G29" s="199"/>
      <c r="H29" s="81"/>
      <c r="I29" s="132"/>
      <c r="K29" s="276" t="s">
        <v>196</v>
      </c>
      <c r="L29" s="277"/>
      <c r="M29" s="277"/>
      <c r="N29" s="278"/>
      <c r="P29" s="169" t="s">
        <v>71</v>
      </c>
      <c r="R29" s="198" t="s">
        <v>195</v>
      </c>
      <c r="S29" s="197"/>
    </row>
    <row r="30" spans="2:20" ht="15" customHeight="1" thickBot="1">
      <c r="B30" s="128"/>
      <c r="C30" s="127"/>
      <c r="D30" s="127"/>
      <c r="E30" s="127"/>
      <c r="F30" s="127"/>
      <c r="G30" s="127"/>
      <c r="H30" s="127"/>
      <c r="I30" s="126"/>
      <c r="K30" s="166" t="s">
        <v>170</v>
      </c>
      <c r="L30" s="165" t="s">
        <v>14</v>
      </c>
      <c r="M30" s="165" t="s">
        <v>169</v>
      </c>
      <c r="N30" s="164" t="s">
        <v>168</v>
      </c>
      <c r="P30" s="163" t="s">
        <v>179</v>
      </c>
      <c r="R30" s="196" t="s">
        <v>180</v>
      </c>
      <c r="S30" s="195"/>
    </row>
    <row r="31" spans="2:20" ht="15" customHeight="1" thickTop="1" thickBot="1">
      <c r="B31" s="112"/>
      <c r="C31" s="8" t="s">
        <v>194</v>
      </c>
      <c r="D31" s="8"/>
      <c r="E31" s="8"/>
      <c r="F31" s="189"/>
      <c r="G31" s="190"/>
      <c r="H31" s="189"/>
      <c r="I31" s="4"/>
      <c r="K31" s="156" t="s">
        <v>193</v>
      </c>
      <c r="L31" s="194" t="str">
        <f>IF(E34="Welded Deck Internal Floating Roof Tank","0",IF(E34="Bolted Deck Internal Floating Roof Tank","0.14",IF(E34="External Floating Roof Tank","0","Error")))</f>
        <v>0</v>
      </c>
      <c r="M31" s="154" t="s">
        <v>192</v>
      </c>
      <c r="N31" s="150" t="s">
        <v>188</v>
      </c>
      <c r="P31" s="161" t="s">
        <v>177</v>
      </c>
      <c r="R31" s="193" t="s">
        <v>191</v>
      </c>
      <c r="S31" s="192"/>
    </row>
    <row r="32" spans="2:20" ht="15" customHeight="1" thickBot="1">
      <c r="B32" s="112"/>
      <c r="C32" s="191"/>
      <c r="D32" s="191"/>
      <c r="E32" s="191"/>
      <c r="F32" s="189"/>
      <c r="G32" s="190"/>
      <c r="H32" s="189"/>
      <c r="I32" s="4"/>
      <c r="K32" s="149" t="s">
        <v>190</v>
      </c>
      <c r="L32" s="188">
        <f>E50/E49</f>
        <v>1</v>
      </c>
      <c r="M32" s="148" t="s">
        <v>189</v>
      </c>
      <c r="N32" s="150" t="s">
        <v>188</v>
      </c>
    </row>
    <row r="33" spans="2:19" ht="15" customHeight="1" thickBot="1">
      <c r="B33" s="112"/>
      <c r="C33" s="187" t="s">
        <v>115</v>
      </c>
      <c r="D33" s="187"/>
      <c r="E33" s="187" t="s">
        <v>14</v>
      </c>
      <c r="G33" s="187" t="s">
        <v>171</v>
      </c>
      <c r="H33" s="187"/>
      <c r="I33" s="4"/>
      <c r="K33" s="149" t="s">
        <v>187</v>
      </c>
      <c r="L33" s="152">
        <f>L23</f>
        <v>100</v>
      </c>
      <c r="M33" s="186" t="s">
        <v>145</v>
      </c>
      <c r="N33" s="150" t="s">
        <v>17</v>
      </c>
      <c r="P33" s="279" t="s">
        <v>186</v>
      </c>
      <c r="Q33" s="280"/>
      <c r="R33" s="280"/>
      <c r="S33" s="281"/>
    </row>
    <row r="34" spans="2:19" ht="15" customHeight="1" thickBot="1">
      <c r="B34" s="112"/>
      <c r="C34" s="130" t="s">
        <v>185</v>
      </c>
      <c r="D34" s="130"/>
      <c r="E34" s="287" t="s">
        <v>172</v>
      </c>
      <c r="F34" s="287"/>
      <c r="G34" s="242" t="s">
        <v>17</v>
      </c>
      <c r="H34" s="183"/>
      <c r="I34" s="4"/>
      <c r="K34" s="149" t="s">
        <v>159</v>
      </c>
      <c r="L34" s="151">
        <f>L12</f>
        <v>0.10355780941504537</v>
      </c>
      <c r="M34" s="148" t="s">
        <v>147</v>
      </c>
      <c r="N34" s="150" t="s">
        <v>158</v>
      </c>
      <c r="P34" s="166" t="s">
        <v>184</v>
      </c>
      <c r="Q34" s="185" t="s">
        <v>162</v>
      </c>
      <c r="R34" s="185" t="s">
        <v>183</v>
      </c>
      <c r="S34" s="184" t="s">
        <v>182</v>
      </c>
    </row>
    <row r="35" spans="2:19" ht="15" customHeight="1" thickTop="1">
      <c r="B35" s="112"/>
      <c r="C35" s="130" t="s">
        <v>181</v>
      </c>
      <c r="D35" s="130"/>
      <c r="E35" s="287" t="s">
        <v>180</v>
      </c>
      <c r="F35" s="287"/>
      <c r="G35" s="242" t="s">
        <v>17</v>
      </c>
      <c r="H35" s="183"/>
      <c r="I35" s="4"/>
      <c r="K35" s="149" t="s">
        <v>151</v>
      </c>
      <c r="L35" s="152">
        <f>L13</f>
        <v>50</v>
      </c>
      <c r="M35" s="151" t="s">
        <v>150</v>
      </c>
      <c r="N35" s="150" t="s">
        <v>17</v>
      </c>
      <c r="P35" s="156" t="s">
        <v>179</v>
      </c>
      <c r="Q35" s="182">
        <v>1.5E-3</v>
      </c>
      <c r="R35" s="182">
        <v>7.4999999999999997E-3</v>
      </c>
      <c r="S35" s="181">
        <v>0.15</v>
      </c>
    </row>
    <row r="36" spans="2:19" ht="15" customHeight="1" thickBot="1">
      <c r="B36" s="112"/>
      <c r="C36" s="130" t="s">
        <v>178</v>
      </c>
      <c r="D36" s="130"/>
      <c r="E36" s="287" t="s">
        <v>71</v>
      </c>
      <c r="F36" s="287"/>
      <c r="G36" s="243" t="s">
        <v>17</v>
      </c>
      <c r="H36" s="138"/>
      <c r="I36" s="4"/>
      <c r="K36" s="149" t="s">
        <v>148</v>
      </c>
      <c r="L36" s="148">
        <f>L14</f>
        <v>0.4</v>
      </c>
      <c r="M36" s="147" t="s">
        <v>147</v>
      </c>
      <c r="N36" s="146" t="s">
        <v>17</v>
      </c>
      <c r="P36" s="180" t="s">
        <v>177</v>
      </c>
      <c r="Q36" s="179">
        <v>1.5E-3</v>
      </c>
      <c r="R36" s="179">
        <v>7.4999999999999997E-3</v>
      </c>
      <c r="S36" s="178">
        <v>0.15</v>
      </c>
    </row>
    <row r="37" spans="2:19" ht="15" customHeight="1" thickTop="1" thickBot="1">
      <c r="B37" s="3"/>
      <c r="C37" s="2"/>
      <c r="D37" s="2"/>
      <c r="E37" s="2"/>
      <c r="F37" s="2"/>
      <c r="G37" s="2"/>
      <c r="H37" s="2"/>
      <c r="I37" s="4"/>
      <c r="J37" s="3"/>
      <c r="K37" s="145" t="s">
        <v>176</v>
      </c>
      <c r="L37" s="177">
        <f>L31*L32*(L33^2)*L34*L35*L36</f>
        <v>0</v>
      </c>
      <c r="M37" s="143" t="s">
        <v>143</v>
      </c>
      <c r="N37" s="142" t="s">
        <v>27</v>
      </c>
      <c r="P37" s="176" t="s">
        <v>71</v>
      </c>
      <c r="Q37" s="175">
        <v>6.0000000000000001E-3</v>
      </c>
      <c r="R37" s="175">
        <v>0.03</v>
      </c>
      <c r="S37" s="174">
        <v>0.6</v>
      </c>
    </row>
    <row r="38" spans="2:19" ht="15" customHeight="1" thickBot="1">
      <c r="B38" s="173"/>
      <c r="C38" s="171"/>
      <c r="D38" s="171"/>
      <c r="E38" s="171"/>
      <c r="F38" s="171"/>
      <c r="G38" s="172"/>
      <c r="H38" s="171"/>
      <c r="I38" s="126"/>
      <c r="J38" s="3"/>
    </row>
    <row r="39" spans="2:19" ht="15" customHeight="1" thickBot="1">
      <c r="B39" s="112"/>
      <c r="C39" s="8" t="s">
        <v>1</v>
      </c>
      <c r="D39" s="9"/>
      <c r="E39" s="9"/>
      <c r="F39" s="2"/>
      <c r="G39" s="2"/>
      <c r="H39" s="2"/>
      <c r="I39" s="137"/>
      <c r="K39" s="284" t="s">
        <v>175</v>
      </c>
      <c r="L39" s="285"/>
      <c r="M39" s="285"/>
      <c r="N39" s="286"/>
      <c r="P39" s="170" t="s">
        <v>174</v>
      </c>
    </row>
    <row r="40" spans="2:19" ht="15" customHeight="1" thickTop="1" thickBot="1">
      <c r="B40" s="112"/>
      <c r="I40" s="137"/>
      <c r="K40" s="276" t="s">
        <v>173</v>
      </c>
      <c r="L40" s="277"/>
      <c r="M40" s="277"/>
      <c r="N40" s="278"/>
      <c r="P40" s="169" t="s">
        <v>172</v>
      </c>
      <c r="Q40" s="141"/>
      <c r="R40" s="141"/>
      <c r="S40" s="141"/>
    </row>
    <row r="41" spans="2:19" ht="15" customHeight="1" thickBot="1">
      <c r="B41" s="112"/>
      <c r="C41" s="167" t="s">
        <v>115</v>
      </c>
      <c r="D41" s="167"/>
      <c r="E41" s="168" t="s">
        <v>14</v>
      </c>
      <c r="F41" s="167" t="s">
        <v>169</v>
      </c>
      <c r="G41" s="167" t="s">
        <v>171</v>
      </c>
      <c r="I41" s="132"/>
      <c r="K41" s="166" t="s">
        <v>170</v>
      </c>
      <c r="L41" s="165" t="s">
        <v>14</v>
      </c>
      <c r="M41" s="165" t="s">
        <v>169</v>
      </c>
      <c r="N41" s="164" t="s">
        <v>168</v>
      </c>
      <c r="P41" s="163" t="s">
        <v>167</v>
      </c>
      <c r="Q41" s="141"/>
      <c r="R41" s="141"/>
      <c r="S41" s="141"/>
    </row>
    <row r="42" spans="2:19" ht="15" customHeight="1" thickTop="1" thickBot="1">
      <c r="B42" s="112"/>
      <c r="C42" s="104" t="s">
        <v>166</v>
      </c>
      <c r="D42" s="104"/>
      <c r="E42" s="158">
        <v>100</v>
      </c>
      <c r="F42" s="130" t="s">
        <v>145</v>
      </c>
      <c r="G42" s="243" t="s">
        <v>17</v>
      </c>
      <c r="I42" s="137"/>
      <c r="K42" s="156" t="s">
        <v>165</v>
      </c>
      <c r="L42" s="160">
        <f>E51</f>
        <v>625</v>
      </c>
      <c r="M42" s="162" t="s">
        <v>139</v>
      </c>
      <c r="N42" s="150" t="s">
        <v>158</v>
      </c>
      <c r="P42" s="161" t="s">
        <v>164</v>
      </c>
      <c r="Q42" s="141"/>
      <c r="R42" s="141"/>
      <c r="S42" s="141"/>
    </row>
    <row r="43" spans="2:19" ht="15" customHeight="1">
      <c r="B43" s="112"/>
      <c r="C43" s="104" t="s">
        <v>163</v>
      </c>
      <c r="D43" s="104"/>
      <c r="E43" s="158" t="s">
        <v>162</v>
      </c>
      <c r="F43" s="130" t="s">
        <v>147</v>
      </c>
      <c r="G43" s="243" t="s">
        <v>17</v>
      </c>
      <c r="I43" s="137"/>
      <c r="K43" s="156" t="s">
        <v>159</v>
      </c>
      <c r="L43" s="155">
        <f>L12</f>
        <v>0.10355780941504537</v>
      </c>
      <c r="M43" s="154" t="s">
        <v>147</v>
      </c>
      <c r="N43" s="150" t="s">
        <v>158</v>
      </c>
      <c r="P43" s="104"/>
      <c r="Q43" s="141"/>
      <c r="R43" s="141"/>
      <c r="S43" s="141"/>
    </row>
    <row r="44" spans="2:19" ht="15" customHeight="1">
      <c r="B44" s="112"/>
      <c r="C44" s="104" t="s">
        <v>161</v>
      </c>
      <c r="D44" s="104"/>
      <c r="E44" s="159">
        <v>5</v>
      </c>
      <c r="F44" s="130" t="s">
        <v>160</v>
      </c>
      <c r="G44" s="243" t="s">
        <v>17</v>
      </c>
      <c r="I44" s="137"/>
      <c r="K44" s="149" t="s">
        <v>151</v>
      </c>
      <c r="L44" s="152">
        <f>L13</f>
        <v>50</v>
      </c>
      <c r="M44" s="151" t="s">
        <v>150</v>
      </c>
      <c r="N44" s="150" t="s">
        <v>17</v>
      </c>
      <c r="Q44" s="141"/>
      <c r="R44" s="141"/>
      <c r="S44" s="141"/>
    </row>
    <row r="45" spans="2:19" ht="15" customHeight="1" thickBot="1">
      <c r="B45" s="112"/>
      <c r="C45" s="104" t="s">
        <v>157</v>
      </c>
      <c r="D45" s="104"/>
      <c r="E45" s="158">
        <v>50</v>
      </c>
      <c r="F45" s="130" t="s">
        <v>150</v>
      </c>
      <c r="G45" s="157" t="s">
        <v>154</v>
      </c>
      <c r="I45" s="137"/>
      <c r="K45" s="149" t="s">
        <v>148</v>
      </c>
      <c r="L45" s="148">
        <f>L14</f>
        <v>0.4</v>
      </c>
      <c r="M45" s="147" t="s">
        <v>147</v>
      </c>
      <c r="N45" s="146" t="s">
        <v>17</v>
      </c>
      <c r="Q45" s="141"/>
      <c r="R45" s="141"/>
      <c r="S45" s="141"/>
    </row>
    <row r="46" spans="2:19" ht="15" customHeight="1" thickTop="1" thickBot="1">
      <c r="B46" s="112"/>
      <c r="C46" s="140" t="s">
        <v>156</v>
      </c>
      <c r="D46" s="104"/>
      <c r="E46" s="158">
        <v>6.1</v>
      </c>
      <c r="F46" s="130" t="s">
        <v>155</v>
      </c>
      <c r="G46" s="157" t="s">
        <v>154</v>
      </c>
      <c r="I46" s="137"/>
      <c r="K46" s="145" t="s">
        <v>144</v>
      </c>
      <c r="L46" s="144">
        <f>L42*L43*L44*L45</f>
        <v>1294.4726176880674</v>
      </c>
      <c r="M46" s="143" t="s">
        <v>143</v>
      </c>
      <c r="N46" s="142" t="s">
        <v>27</v>
      </c>
      <c r="Q46" s="141"/>
      <c r="R46" s="141"/>
      <c r="S46" s="141"/>
    </row>
    <row r="47" spans="2:19" ht="15" customHeight="1">
      <c r="B47" s="112"/>
      <c r="C47" s="104" t="s">
        <v>153</v>
      </c>
      <c r="D47" s="104"/>
      <c r="E47" s="153">
        <v>7500000</v>
      </c>
      <c r="F47" s="130" t="s">
        <v>152</v>
      </c>
      <c r="G47" s="243" t="s">
        <v>17</v>
      </c>
      <c r="I47" s="137"/>
      <c r="P47" s="104"/>
      <c r="Q47" s="141"/>
      <c r="R47" s="141"/>
      <c r="S47" s="141"/>
    </row>
    <row r="48" spans="2:19" ht="15" customHeight="1">
      <c r="B48" s="112"/>
      <c r="C48" s="100" t="s">
        <v>149</v>
      </c>
      <c r="E48" s="244">
        <v>1</v>
      </c>
      <c r="F48" s="100" t="s">
        <v>145</v>
      </c>
      <c r="G48" s="245" t="s">
        <v>17</v>
      </c>
      <c r="I48" s="137"/>
      <c r="P48" s="104"/>
      <c r="Q48" s="141"/>
      <c r="R48" s="141"/>
      <c r="S48" s="141"/>
    </row>
    <row r="49" spans="2:19" ht="15" customHeight="1">
      <c r="B49" s="112"/>
      <c r="C49" s="100" t="s">
        <v>146</v>
      </c>
      <c r="E49" s="251">
        <v>1E-4</v>
      </c>
      <c r="F49" s="100" t="s">
        <v>145</v>
      </c>
      <c r="G49" s="245" t="s">
        <v>17</v>
      </c>
      <c r="I49" s="137"/>
      <c r="P49" s="104"/>
      <c r="Q49" s="141"/>
      <c r="R49" s="141"/>
      <c r="S49" s="141"/>
    </row>
    <row r="50" spans="2:19" ht="15" customHeight="1">
      <c r="B50" s="112"/>
      <c r="C50" s="100" t="s">
        <v>142</v>
      </c>
      <c r="E50" s="251">
        <v>1E-4</v>
      </c>
      <c r="F50" s="100" t="s">
        <v>141</v>
      </c>
      <c r="G50" s="245" t="s">
        <v>17</v>
      </c>
      <c r="I50" s="137"/>
    </row>
    <row r="51" spans="2:19" ht="15" customHeight="1">
      <c r="B51" s="112"/>
      <c r="C51" s="140" t="s">
        <v>140</v>
      </c>
      <c r="D51" s="104"/>
      <c r="E51" s="139">
        <v>625</v>
      </c>
      <c r="F51" s="130" t="s">
        <v>139</v>
      </c>
      <c r="G51" s="243" t="s">
        <v>138</v>
      </c>
      <c r="I51" s="137"/>
    </row>
    <row r="52" spans="2:19" ht="15" customHeight="1">
      <c r="B52" s="112"/>
      <c r="C52" s="140" t="s">
        <v>137</v>
      </c>
      <c r="D52" s="104"/>
      <c r="E52" s="139">
        <v>1</v>
      </c>
      <c r="F52" s="130" t="s">
        <v>136</v>
      </c>
      <c r="G52" s="243" t="s">
        <v>17</v>
      </c>
      <c r="I52" s="137"/>
    </row>
    <row r="53" spans="2:19" ht="15" customHeight="1">
      <c r="B53" s="112"/>
      <c r="C53" s="136" t="s">
        <v>135</v>
      </c>
      <c r="D53" s="104"/>
      <c r="E53" s="158">
        <v>88.5</v>
      </c>
      <c r="F53" s="247" t="s">
        <v>134</v>
      </c>
      <c r="G53" s="135" t="s">
        <v>133</v>
      </c>
      <c r="H53" s="135"/>
      <c r="I53" s="134"/>
    </row>
    <row r="54" spans="2:19" ht="15" customHeight="1" thickBot="1">
      <c r="B54" s="112"/>
      <c r="C54" s="130"/>
      <c r="D54" s="130"/>
      <c r="E54" s="130"/>
      <c r="F54" s="130"/>
      <c r="G54" s="130"/>
      <c r="H54" s="133"/>
      <c r="I54" s="132"/>
    </row>
    <row r="55" spans="2:19" ht="15" customHeight="1">
      <c r="B55" s="128"/>
      <c r="C55" s="127"/>
      <c r="D55" s="127"/>
      <c r="E55" s="127"/>
      <c r="F55" s="127"/>
      <c r="G55" s="127"/>
      <c r="H55" s="127"/>
      <c r="I55" s="126"/>
    </row>
    <row r="56" spans="2:19" ht="15" customHeight="1">
      <c r="B56" s="112"/>
      <c r="C56" s="131" t="s">
        <v>132</v>
      </c>
      <c r="D56" s="131"/>
      <c r="E56" s="131"/>
      <c r="F56" s="131"/>
      <c r="G56" s="110"/>
      <c r="H56" s="109"/>
      <c r="I56" s="4"/>
    </row>
    <row r="57" spans="2:19" ht="15" customHeight="1">
      <c r="B57" s="112"/>
      <c r="C57" s="131"/>
      <c r="D57" s="131"/>
      <c r="E57" s="131"/>
      <c r="F57" s="131"/>
      <c r="G57" s="110"/>
      <c r="H57" s="109"/>
      <c r="I57" s="4"/>
    </row>
    <row r="58" spans="2:19" ht="15" customHeight="1">
      <c r="B58" s="112"/>
      <c r="C58" s="129" t="s">
        <v>131</v>
      </c>
      <c r="D58" s="129"/>
      <c r="E58" s="129"/>
      <c r="F58" s="129"/>
      <c r="G58" s="110"/>
      <c r="H58" s="104"/>
      <c r="I58" s="4"/>
    </row>
    <row r="59" spans="2:19" ht="15" customHeight="1">
      <c r="B59" s="112"/>
      <c r="C59" s="129" t="s">
        <v>130</v>
      </c>
      <c r="D59" s="129"/>
      <c r="E59" s="129"/>
      <c r="F59" s="129"/>
      <c r="G59" s="110"/>
      <c r="H59" s="104"/>
      <c r="I59" s="4"/>
    </row>
    <row r="60" spans="2:19" ht="15" customHeight="1">
      <c r="B60" s="112"/>
      <c r="C60" s="104" t="s">
        <v>129</v>
      </c>
      <c r="D60" s="104"/>
      <c r="E60" s="104"/>
      <c r="F60" s="104"/>
      <c r="G60" s="103"/>
      <c r="H60" s="104"/>
      <c r="I60" s="4"/>
    </row>
    <row r="61" spans="2:19" ht="15" customHeight="1">
      <c r="B61" s="112"/>
      <c r="C61" s="130" t="s">
        <v>128</v>
      </c>
      <c r="D61" s="130"/>
      <c r="E61" s="104"/>
      <c r="F61" s="104"/>
      <c r="G61" s="103"/>
      <c r="H61" s="104"/>
      <c r="I61" s="4"/>
    </row>
    <row r="62" spans="2:19" ht="15" customHeight="1">
      <c r="B62" s="112"/>
      <c r="C62" s="104" t="s">
        <v>127</v>
      </c>
      <c r="D62" s="104"/>
      <c r="E62" s="104"/>
      <c r="F62" s="104"/>
      <c r="G62" s="103"/>
      <c r="H62" s="104"/>
      <c r="I62" s="4"/>
    </row>
    <row r="63" spans="2:19" ht="15" customHeight="1">
      <c r="B63" s="112"/>
      <c r="C63" s="104" t="s">
        <v>126</v>
      </c>
      <c r="D63" s="104"/>
      <c r="E63" s="104"/>
      <c r="F63" s="104"/>
      <c r="G63" s="103"/>
      <c r="H63" s="104"/>
      <c r="I63" s="4"/>
    </row>
    <row r="64" spans="2:19" ht="15" customHeight="1">
      <c r="B64" s="112"/>
      <c r="C64" s="104" t="s">
        <v>239</v>
      </c>
      <c r="D64" s="104"/>
      <c r="E64" s="104"/>
      <c r="F64" s="104"/>
      <c r="G64" s="103"/>
      <c r="H64" s="104"/>
      <c r="I64" s="4"/>
    </row>
    <row r="65" spans="2:9" ht="15" customHeight="1">
      <c r="B65" s="112"/>
      <c r="C65" s="104" t="s">
        <v>125</v>
      </c>
      <c r="D65" s="104"/>
      <c r="E65" s="104"/>
      <c r="F65" s="104"/>
      <c r="G65" s="103"/>
      <c r="H65" s="104"/>
      <c r="I65" s="4"/>
    </row>
    <row r="66" spans="2:9" ht="15" customHeight="1">
      <c r="B66" s="112"/>
      <c r="C66" s="104" t="s">
        <v>124</v>
      </c>
      <c r="D66" s="104"/>
      <c r="E66" s="104"/>
      <c r="F66" s="104"/>
      <c r="G66" s="129"/>
      <c r="H66" s="129"/>
      <c r="I66" s="4"/>
    </row>
    <row r="67" spans="2:9" ht="15" customHeight="1" thickBot="1">
      <c r="B67" s="112"/>
      <c r="C67" s="104"/>
      <c r="D67" s="104"/>
      <c r="E67" s="104"/>
      <c r="F67" s="104"/>
      <c r="G67" s="129"/>
      <c r="H67" s="129"/>
      <c r="I67" s="4"/>
    </row>
    <row r="68" spans="2:9" ht="15" customHeight="1">
      <c r="B68" s="128"/>
      <c r="C68" s="127"/>
      <c r="D68" s="127"/>
      <c r="E68" s="127"/>
      <c r="F68" s="127"/>
      <c r="G68" s="127"/>
      <c r="H68" s="127"/>
      <c r="I68" s="126"/>
    </row>
    <row r="69" spans="2:9" ht="15" customHeight="1">
      <c r="B69" s="112"/>
      <c r="C69" s="8" t="s">
        <v>61</v>
      </c>
      <c r="D69" s="8"/>
      <c r="E69" s="8"/>
      <c r="F69" s="8"/>
      <c r="G69" s="9"/>
      <c r="H69" s="2"/>
      <c r="I69" s="4"/>
    </row>
    <row r="70" spans="2:9" ht="15" customHeight="1" thickBot="1">
      <c r="B70" s="112"/>
      <c r="C70" s="8"/>
      <c r="D70" s="8"/>
      <c r="E70" s="8"/>
      <c r="F70" s="8"/>
      <c r="G70" s="9"/>
      <c r="H70" s="2"/>
      <c r="I70" s="4"/>
    </row>
    <row r="71" spans="2:9" ht="15" customHeight="1">
      <c r="B71" s="112"/>
      <c r="C71" s="125"/>
      <c r="D71" s="124" t="s">
        <v>9</v>
      </c>
      <c r="E71" s="123" t="s">
        <v>66</v>
      </c>
      <c r="G71" s="100"/>
      <c r="H71" s="104"/>
      <c r="I71" s="4"/>
    </row>
    <row r="72" spans="2:9" ht="15" customHeight="1">
      <c r="B72" s="112"/>
      <c r="C72" s="121" t="s">
        <v>123</v>
      </c>
      <c r="D72" s="120">
        <f>L15/365*(E53/100)</f>
        <v>0.50218444565652143</v>
      </c>
      <c r="E72" s="119">
        <f>L15/2000*(E53/100)</f>
        <v>9.1648661332315168E-2</v>
      </c>
      <c r="G72" s="100"/>
      <c r="H72" s="104"/>
      <c r="I72" s="4"/>
    </row>
    <row r="73" spans="2:9" ht="15" customHeight="1">
      <c r="B73" s="112"/>
      <c r="C73" s="122" t="s">
        <v>122</v>
      </c>
      <c r="D73" s="120">
        <f>L26/365*(E53/100)</f>
        <v>6.2763108904109588</v>
      </c>
      <c r="E73" s="119">
        <f>L26/2000*(E53/100)</f>
        <v>1.1454267375</v>
      </c>
      <c r="G73" s="100"/>
      <c r="H73" s="104"/>
      <c r="I73" s="4"/>
    </row>
    <row r="74" spans="2:9" ht="15" customHeight="1">
      <c r="B74" s="112"/>
      <c r="C74" s="121" t="s">
        <v>121</v>
      </c>
      <c r="D74" s="120">
        <f>L46/365*(E53/100)</f>
        <v>3.1386527853532593</v>
      </c>
      <c r="E74" s="119">
        <f>L46/2000*(E53/100)</f>
        <v>0.57280413332696989</v>
      </c>
      <c r="G74" s="100"/>
      <c r="H74" s="104"/>
      <c r="I74" s="4"/>
    </row>
    <row r="75" spans="2:9" ht="15" customHeight="1" thickBot="1">
      <c r="B75" s="112"/>
      <c r="C75" s="118" t="s">
        <v>120</v>
      </c>
      <c r="D75" s="117">
        <f>L37/365*(E53/100)</f>
        <v>0</v>
      </c>
      <c r="E75" s="116">
        <f>L37/2000*(E53/100)</f>
        <v>0</v>
      </c>
      <c r="G75" s="100"/>
      <c r="H75" s="104"/>
      <c r="I75" s="4"/>
    </row>
    <row r="76" spans="2:9" ht="15" customHeight="1" thickTop="1" thickBot="1">
      <c r="B76" s="112"/>
      <c r="C76" s="115" t="s">
        <v>99</v>
      </c>
      <c r="D76" s="114">
        <f>SUM(D72:D75)</f>
        <v>9.9171481214207393</v>
      </c>
      <c r="E76" s="113">
        <f>SUM(E72:E75)</f>
        <v>1.8098795321592851</v>
      </c>
      <c r="G76" s="100"/>
      <c r="H76" s="104"/>
      <c r="I76" s="4"/>
    </row>
    <row r="77" spans="2:9" ht="15" customHeight="1">
      <c r="B77" s="112"/>
      <c r="C77" s="111"/>
      <c r="D77" s="111"/>
      <c r="E77" s="111"/>
      <c r="F77" s="111"/>
      <c r="G77" s="110"/>
      <c r="H77" s="109"/>
      <c r="I77" s="4"/>
    </row>
    <row r="78" spans="2:9" ht="15" customHeight="1" thickBot="1">
      <c r="B78" s="108"/>
      <c r="C78" s="107" t="s">
        <v>100</v>
      </c>
      <c r="D78" s="246"/>
      <c r="E78" s="98"/>
      <c r="F78" s="106"/>
      <c r="G78" s="105" t="s">
        <v>82</v>
      </c>
      <c r="H78" s="80"/>
      <c r="I78" s="7"/>
    </row>
    <row r="79" spans="2:9" ht="15" customHeight="1">
      <c r="G79" s="100"/>
      <c r="I79" s="103"/>
    </row>
    <row r="80" spans="2:9" ht="15" customHeight="1">
      <c r="G80" s="100"/>
      <c r="I80" s="103"/>
    </row>
    <row r="81" spans="3:9" ht="15" customHeight="1">
      <c r="G81" s="100"/>
      <c r="I81" s="103"/>
    </row>
    <row r="82" spans="3:9" ht="15" customHeight="1">
      <c r="G82" s="100"/>
      <c r="I82" s="103"/>
    </row>
    <row r="83" spans="3:9" ht="15" customHeight="1">
      <c r="G83" s="100"/>
      <c r="I83" s="103"/>
    </row>
    <row r="84" spans="3:9" ht="15" customHeight="1">
      <c r="G84" s="100"/>
      <c r="I84" s="103"/>
    </row>
    <row r="85" spans="3:9" ht="15" customHeight="1">
      <c r="C85" s="104"/>
      <c r="D85" s="104"/>
      <c r="E85" s="104"/>
      <c r="F85" s="104"/>
      <c r="G85" s="103"/>
      <c r="H85" s="104"/>
      <c r="I85" s="103"/>
    </row>
    <row r="86" spans="3:9" ht="15" customHeight="1">
      <c r="C86" s="102"/>
      <c r="D86" s="102"/>
      <c r="E86" s="102"/>
      <c r="F86" s="102"/>
      <c r="G86" s="102"/>
      <c r="H86" s="102"/>
    </row>
    <row r="87" spans="3:9" ht="15" customHeight="1">
      <c r="C87" s="102"/>
      <c r="D87" s="102"/>
      <c r="E87" s="102"/>
      <c r="F87" s="102"/>
      <c r="G87" s="102"/>
      <c r="H87" s="102"/>
    </row>
    <row r="88" spans="3:9" ht="15" customHeight="1">
      <c r="C88" s="102"/>
      <c r="D88" s="102"/>
      <c r="E88" s="102"/>
      <c r="F88" s="102"/>
      <c r="G88" s="102"/>
      <c r="H88" s="102"/>
    </row>
    <row r="89" spans="3:9" ht="15" customHeight="1">
      <c r="C89" s="102"/>
      <c r="D89" s="102"/>
      <c r="E89" s="102"/>
      <c r="F89" s="102"/>
      <c r="G89" s="102"/>
      <c r="H89" s="102"/>
    </row>
    <row r="90" spans="3:9">
      <c r="C90" s="102"/>
      <c r="D90" s="102"/>
      <c r="E90" s="102"/>
      <c r="F90" s="102"/>
      <c r="G90" s="102"/>
      <c r="H90" s="102"/>
    </row>
    <row r="91" spans="3:9">
      <c r="C91" s="102"/>
      <c r="D91" s="102"/>
      <c r="E91" s="102"/>
      <c r="F91" s="102"/>
      <c r="G91" s="102"/>
      <c r="H91" s="102"/>
    </row>
    <row r="92" spans="3:9">
      <c r="C92" s="102"/>
      <c r="D92" s="102"/>
      <c r="E92" s="102"/>
      <c r="F92" s="102"/>
      <c r="G92" s="102"/>
      <c r="H92" s="102"/>
    </row>
    <row r="93" spans="3:9">
      <c r="C93" s="102"/>
      <c r="D93" s="102"/>
      <c r="E93" s="102"/>
      <c r="F93" s="102"/>
      <c r="G93" s="102"/>
      <c r="H93" s="102"/>
    </row>
    <row r="94" spans="3:9">
      <c r="C94" s="102"/>
      <c r="D94" s="102"/>
      <c r="E94" s="102"/>
      <c r="F94" s="102"/>
      <c r="G94" s="102"/>
      <c r="H94" s="102"/>
    </row>
    <row r="95" spans="3:9">
      <c r="C95" s="102"/>
      <c r="D95" s="102"/>
      <c r="E95" s="102"/>
      <c r="F95" s="102"/>
      <c r="G95" s="102"/>
      <c r="H95" s="102"/>
    </row>
    <row r="96" spans="3:9">
      <c r="C96" s="102"/>
      <c r="D96" s="102"/>
      <c r="E96" s="102"/>
      <c r="F96" s="102"/>
      <c r="G96" s="102"/>
      <c r="H96" s="102"/>
    </row>
    <row r="97" spans="3:8">
      <c r="C97" s="102"/>
      <c r="D97" s="102"/>
      <c r="E97" s="102"/>
      <c r="F97" s="102"/>
      <c r="G97" s="102"/>
      <c r="H97" s="102"/>
    </row>
    <row r="98" spans="3:8">
      <c r="C98" s="102"/>
      <c r="D98" s="102"/>
      <c r="E98" s="102"/>
      <c r="F98" s="102"/>
      <c r="G98" s="102"/>
      <c r="H98" s="102"/>
    </row>
    <row r="99" spans="3:8">
      <c r="C99" s="102"/>
      <c r="D99" s="102"/>
      <c r="E99" s="102"/>
      <c r="F99" s="102"/>
      <c r="G99" s="102"/>
      <c r="H99" s="102"/>
    </row>
    <row r="100" spans="3:8">
      <c r="C100" s="102"/>
      <c r="D100" s="102"/>
      <c r="E100" s="102"/>
      <c r="F100" s="102"/>
      <c r="G100" s="102"/>
      <c r="H100" s="102"/>
    </row>
    <row r="101" spans="3:8">
      <c r="C101" s="102"/>
      <c r="D101" s="102"/>
      <c r="E101" s="102"/>
      <c r="F101" s="102"/>
      <c r="G101" s="102"/>
      <c r="H101" s="102"/>
    </row>
    <row r="102" spans="3:8">
      <c r="C102" s="102"/>
      <c r="D102" s="102"/>
      <c r="E102" s="102"/>
      <c r="F102" s="102"/>
      <c r="G102" s="102"/>
      <c r="H102" s="102"/>
    </row>
    <row r="103" spans="3:8">
      <c r="C103" s="102"/>
      <c r="D103" s="102"/>
      <c r="E103" s="102"/>
      <c r="F103" s="102"/>
      <c r="G103" s="102"/>
      <c r="H103" s="102"/>
    </row>
  </sheetData>
  <sheetProtection password="CA15" sheet="1" selectLockedCells="1"/>
  <mergeCells count="18">
    <mergeCell ref="B2:I2"/>
    <mergeCell ref="P23:S23"/>
    <mergeCell ref="P4:S4"/>
    <mergeCell ref="K4:N4"/>
    <mergeCell ref="K5:N5"/>
    <mergeCell ref="E34:F34"/>
    <mergeCell ref="E35:F35"/>
    <mergeCell ref="E36:F36"/>
    <mergeCell ref="P5:S5"/>
    <mergeCell ref="P18:S18"/>
    <mergeCell ref="K17:N17"/>
    <mergeCell ref="K18:N18"/>
    <mergeCell ref="K40:N40"/>
    <mergeCell ref="P33:S33"/>
    <mergeCell ref="R28:S28"/>
    <mergeCell ref="K28:N28"/>
    <mergeCell ref="K29:N29"/>
    <mergeCell ref="K39:N39"/>
  </mergeCells>
  <dataValidations count="4">
    <dataValidation type="list" allowBlank="1" showInputMessage="1" showErrorMessage="1" sqref="E34">
      <formula1>$P$40:$P$42</formula1>
    </dataValidation>
    <dataValidation type="list" allowBlank="1" showInputMessage="1" showErrorMessage="1" sqref="E43">
      <formula1>$Q$34:$S$34</formula1>
    </dataValidation>
    <dataValidation type="list" allowBlank="1" showInputMessage="1" showErrorMessage="1" sqref="E35">
      <formula1>$R$29:$R$31</formula1>
    </dataValidation>
    <dataValidation type="list" allowBlank="1" showInputMessage="1" showErrorMessage="1" sqref="E36">
      <formula1>$P$29:$P$31</formula1>
    </dataValidation>
  </dataValidations>
  <pageMargins left="0.43" right="0.52" top="1" bottom="1" header="1" footer="1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Fixed Roof Tank</vt:lpstr>
      <vt:lpstr>Floating Roof Tank</vt:lpstr>
      <vt:lpstr>'Floating Roof Tank'!diam</vt:lpstr>
      <vt:lpstr>LiquidType</vt:lpstr>
      <vt:lpstr>PaintColor</vt:lpstr>
      <vt:lpstr>'Fixed Roof Tank'!ST_VRU_EFF</vt:lpstr>
      <vt:lpstr>'Fixed Roof Tank'!VRU_EFF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Brown</dc:creator>
  <cp:lastModifiedBy>Kevin M. Brown</cp:lastModifiedBy>
  <dcterms:created xsi:type="dcterms:W3CDTF">2012-08-10T21:04:29Z</dcterms:created>
  <dcterms:modified xsi:type="dcterms:W3CDTF">2019-09-23T18:15:58Z</dcterms:modified>
</cp:coreProperties>
</file>