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bcapcd.org\shares\Groups\pca\WP\CEQA\Wineries\"/>
    </mc:Choice>
  </mc:AlternateContent>
  <bookViews>
    <workbookView xWindow="0" yWindow="0" windowWidth="19200" windowHeight="7485"/>
  </bookViews>
  <sheets>
    <sheet name="Project Data Input" sheetId="12" r:id="rId1"/>
    <sheet name="Emissions Summary" sheetId="6" r:id="rId2"/>
    <sheet name="Trip Rate Calculations" sheetId="1" r:id="rId3"/>
    <sheet name="Winery Data" sheetId="2" r:id="rId4"/>
    <sheet name="Wine ROC Emissions" sheetId="4" r:id="rId5"/>
    <sheet name="Fermentation CO2 Emissions " sheetId="5" r:id="rId6"/>
    <sheet name="Equipment Data" sheetId="9" r:id="rId7"/>
    <sheet name="Equipment GHG Emissions" sheetId="10" r:id="rId8"/>
    <sheet name="Conversions and EF" sheetId="11" r:id="rId9"/>
  </sheets>
  <definedNames>
    <definedName name="Boiler">'Conversions and EF'!$I$47:$I$48</definedName>
    <definedName name="No">'Conversions and EF'!$I$47:$I$48</definedName>
    <definedName name="Open">'Trip Rate Calculations'!$B$120:$B$121</definedName>
    <definedName name="propane">'Conversions and EF'!$I$47:$I$48</definedName>
    <definedName name="Yes">'Equipment Data'!$E$4</definedName>
    <definedName name="YesNo">'Trip Rate Calculations'!$B$120:$B$121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0" l="1"/>
  <c r="E6" i="10"/>
  <c r="E4" i="10"/>
  <c r="E12" i="9"/>
  <c r="E11" i="9"/>
  <c r="E10" i="9"/>
  <c r="C5" i="6"/>
  <c r="C4" i="6"/>
  <c r="C35" i="9" l="1"/>
  <c r="E4" i="9"/>
  <c r="C16" i="9" s="1"/>
  <c r="C21" i="11"/>
  <c r="C20" i="11"/>
  <c r="D11" i="1" l="1"/>
  <c r="C11" i="1"/>
  <c r="C12" i="1"/>
  <c r="C13" i="1"/>
  <c r="D10" i="1"/>
  <c r="C10" i="1"/>
  <c r="C13" i="12" l="1"/>
  <c r="C6" i="1" s="1"/>
  <c r="C5" i="1"/>
  <c r="H18" i="1"/>
  <c r="H17" i="1"/>
  <c r="H16" i="1"/>
  <c r="H8" i="11"/>
  <c r="H9" i="11" s="1"/>
  <c r="H10" i="11" s="1"/>
  <c r="C29" i="2"/>
  <c r="C28" i="2"/>
  <c r="C27" i="2"/>
  <c r="C26" i="2"/>
  <c r="C20" i="2"/>
  <c r="C19" i="2"/>
  <c r="C11" i="2"/>
  <c r="C10" i="2"/>
  <c r="C8" i="2"/>
  <c r="C6" i="2"/>
  <c r="F18" i="9"/>
  <c r="F19" i="9"/>
  <c r="L19" i="12"/>
  <c r="L20" i="12" s="1"/>
  <c r="E5" i="9"/>
  <c r="E6" i="9"/>
  <c r="C34" i="9" l="1"/>
  <c r="C43" i="9" s="1"/>
  <c r="D19" i="12"/>
  <c r="D12" i="1" s="1"/>
  <c r="D20" i="12"/>
  <c r="D13" i="1" s="1"/>
  <c r="L21" i="12"/>
  <c r="C20" i="9"/>
  <c r="C24" i="9" s="1"/>
  <c r="C17" i="9"/>
  <c r="C42" i="9" l="1"/>
  <c r="E42" i="9" s="1"/>
  <c r="C44" i="9"/>
  <c r="C46" i="9"/>
  <c r="C28" i="9"/>
  <c r="C27" i="9"/>
  <c r="C26" i="9"/>
  <c r="C25" i="9"/>
  <c r="C19" i="9"/>
  <c r="C18" i="9"/>
  <c r="D28" i="9" l="1"/>
  <c r="H32" i="12"/>
  <c r="H16" i="12" s="1"/>
  <c r="H25" i="12" l="1"/>
  <c r="H29" i="12"/>
  <c r="H20" i="12"/>
  <c r="H14" i="12"/>
  <c r="H24" i="12" s="1"/>
  <c r="C92" i="11"/>
  <c r="G74" i="11" s="1"/>
  <c r="C58" i="11"/>
  <c r="H28" i="12" l="1"/>
  <c r="H19" i="12"/>
  <c r="G85" i="11"/>
  <c r="C45" i="9" s="1"/>
  <c r="G77" i="11"/>
  <c r="G73" i="11"/>
  <c r="G84" i="11"/>
  <c r="G80" i="11"/>
  <c r="G76" i="11"/>
  <c r="G87" i="11"/>
  <c r="G83" i="11"/>
  <c r="G79" i="11"/>
  <c r="G75" i="11"/>
  <c r="G81" i="11"/>
  <c r="G86" i="11"/>
  <c r="G82" i="11"/>
  <c r="G78" i="11"/>
  <c r="C46" i="11" l="1"/>
  <c r="E43" i="9"/>
  <c r="E44" i="9"/>
  <c r="E45" i="9"/>
  <c r="E46" i="9"/>
  <c r="C26" i="11" l="1"/>
  <c r="C30" i="11" s="1"/>
  <c r="C29" i="11" l="1"/>
  <c r="C31" i="11" s="1"/>
  <c r="C17" i="11" s="1"/>
  <c r="C32" i="11"/>
  <c r="D17" i="11" s="1"/>
  <c r="F14" i="6"/>
  <c r="E14" i="6"/>
  <c r="D14" i="6"/>
  <c r="C17" i="10"/>
  <c r="C16" i="10"/>
  <c r="C15" i="10"/>
  <c r="C11" i="10"/>
  <c r="C18" i="10" l="1"/>
  <c r="D23" i="6" s="1"/>
  <c r="C10" i="10"/>
  <c r="C12" i="10" s="1"/>
  <c r="D22" i="6" l="1"/>
  <c r="G19" i="4"/>
  <c r="F19" i="4"/>
  <c r="G18" i="4"/>
  <c r="F18" i="4"/>
  <c r="F8" i="4"/>
  <c r="G8" i="4"/>
  <c r="G7" i="4"/>
  <c r="F7" i="4"/>
  <c r="D24" i="9" l="1"/>
  <c r="E13" i="6" s="1"/>
  <c r="E15" i="6" s="1"/>
  <c r="D27" i="9"/>
  <c r="F13" i="6"/>
  <c r="F15" i="6" s="1"/>
  <c r="D25" i="9"/>
  <c r="D13" i="6" s="1"/>
  <c r="D26" i="9"/>
  <c r="C5" i="5"/>
  <c r="C6" i="5" l="1"/>
  <c r="C25" i="2"/>
  <c r="C7" i="2" s="1"/>
  <c r="C18" i="4" s="1"/>
  <c r="F118" i="1"/>
  <c r="F117" i="1"/>
  <c r="F116" i="1"/>
  <c r="F115" i="1"/>
  <c r="F114" i="1"/>
  <c r="F113" i="1"/>
  <c r="E112" i="1"/>
  <c r="D112" i="1"/>
  <c r="C112" i="1"/>
  <c r="C99" i="1"/>
  <c r="C100" i="1" s="1"/>
  <c r="C90" i="1"/>
  <c r="D89" i="1"/>
  <c r="C89" i="1"/>
  <c r="D88" i="1"/>
  <c r="C88" i="1"/>
  <c r="D87" i="1"/>
  <c r="C87" i="1"/>
  <c r="D80" i="1"/>
  <c r="C80" i="1"/>
  <c r="D79" i="1"/>
  <c r="C79" i="1"/>
  <c r="D78" i="1"/>
  <c r="C78" i="1"/>
  <c r="D77" i="1"/>
  <c r="C77" i="1"/>
  <c r="C70" i="1"/>
  <c r="D69" i="1"/>
  <c r="C69" i="1"/>
  <c r="D68" i="1"/>
  <c r="D70" i="1" s="1"/>
  <c r="C68" i="1"/>
  <c r="D67" i="1"/>
  <c r="C67" i="1"/>
  <c r="C60" i="1"/>
  <c r="D59" i="1"/>
  <c r="C59" i="1"/>
  <c r="D58" i="1"/>
  <c r="C58" i="1"/>
  <c r="D57" i="1"/>
  <c r="D60" i="1" s="1"/>
  <c r="C57" i="1"/>
  <c r="D50" i="1"/>
  <c r="C50" i="1"/>
  <c r="D49" i="1"/>
  <c r="C49" i="1"/>
  <c r="D48" i="1"/>
  <c r="C48" i="1"/>
  <c r="D47" i="1"/>
  <c r="C47" i="1"/>
  <c r="C101" i="1" l="1"/>
  <c r="E48" i="1"/>
  <c r="E58" i="1"/>
  <c r="E89" i="1"/>
  <c r="E57" i="1"/>
  <c r="E70" i="1"/>
  <c r="E69" i="1"/>
  <c r="E80" i="1"/>
  <c r="H47" i="1"/>
  <c r="H48" i="1" s="1"/>
  <c r="E77" i="1"/>
  <c r="E59" i="1"/>
  <c r="E79" i="1"/>
  <c r="E49" i="1"/>
  <c r="F112" i="1"/>
  <c r="G112" i="1" s="1"/>
  <c r="A21" i="1" s="1"/>
  <c r="E50" i="1"/>
  <c r="E60" i="1"/>
  <c r="H77" i="1"/>
  <c r="H78" i="1" s="1"/>
  <c r="H57" i="1"/>
  <c r="H58" i="1" s="1"/>
  <c r="E88" i="1"/>
  <c r="H67" i="1"/>
  <c r="H68" i="1" s="1"/>
  <c r="H87" i="1"/>
  <c r="H88" i="1" s="1"/>
  <c r="E78" i="1"/>
  <c r="E68" i="1"/>
  <c r="D90" i="1"/>
  <c r="E90" i="1" s="1"/>
  <c r="E47" i="1"/>
  <c r="E67" i="1"/>
  <c r="E87" i="1"/>
  <c r="I18" i="4"/>
  <c r="C17" i="2"/>
  <c r="C7" i="4" s="1"/>
  <c r="I7" i="4" s="1"/>
  <c r="C9" i="5"/>
  <c r="C21" i="2"/>
  <c r="C8" i="4" s="1"/>
  <c r="I8" i="4" s="1"/>
  <c r="C12" i="2"/>
  <c r="C19" i="4" s="1"/>
  <c r="I19" i="4" s="1"/>
  <c r="C9" i="2"/>
  <c r="D18" i="4" s="1"/>
  <c r="J18" i="4" s="1"/>
  <c r="C10" i="5" l="1"/>
  <c r="C11" i="5" s="1"/>
  <c r="E81" i="1"/>
  <c r="E82" i="1" s="1"/>
  <c r="E61" i="1"/>
  <c r="E62" i="1" s="1"/>
  <c r="C22" i="1"/>
  <c r="C23" i="1" s="1"/>
  <c r="C30" i="12" s="1"/>
  <c r="E91" i="1"/>
  <c r="E92" i="1" s="1"/>
  <c r="A29" i="1"/>
  <c r="C32" i="1" s="1"/>
  <c r="E71" i="1"/>
  <c r="E72" i="1" s="1"/>
  <c r="E51" i="1"/>
  <c r="E52" i="1" s="1"/>
  <c r="I9" i="4"/>
  <c r="I20" i="4"/>
  <c r="C12" i="5"/>
  <c r="C22" i="2"/>
  <c r="D8" i="4" s="1"/>
  <c r="J8" i="4" s="1"/>
  <c r="C13" i="2"/>
  <c r="D19" i="4" s="1"/>
  <c r="J19" i="4" s="1"/>
  <c r="J20" i="4" s="1"/>
  <c r="C18" i="2"/>
  <c r="D7" i="4" s="1"/>
  <c r="J7" i="4" s="1"/>
  <c r="C13" i="5" l="1"/>
  <c r="C14" i="5" s="1"/>
  <c r="C15" i="5" s="1"/>
  <c r="D21" i="6" s="1"/>
  <c r="D24" i="6" s="1"/>
  <c r="D32" i="1"/>
  <c r="E34" i="1"/>
  <c r="E33" i="1"/>
  <c r="D33" i="1"/>
  <c r="E31" i="1"/>
  <c r="C34" i="1"/>
  <c r="D34" i="1"/>
  <c r="D31" i="1"/>
  <c r="E32" i="1"/>
  <c r="C31" i="1"/>
  <c r="C33" i="1"/>
  <c r="I22" i="4"/>
  <c r="I23" i="4" s="1"/>
  <c r="J9" i="4"/>
  <c r="I11" i="4" s="1"/>
  <c r="D12" i="6" s="1"/>
  <c r="D15" i="6" s="1"/>
  <c r="E35" i="1" l="1"/>
  <c r="E36" i="1" s="1"/>
  <c r="C31" i="12" s="1"/>
</calcChain>
</file>

<file path=xl/comments1.xml><?xml version="1.0" encoding="utf-8"?>
<comments xmlns="http://schemas.openxmlformats.org/spreadsheetml/2006/main">
  <authors>
    <author>Krista Nightingale</author>
  </authors>
  <commentList>
    <comment ref="B12" authorId="0" shapeId="0">
      <text>
        <r>
          <rPr>
            <sz val="9"/>
            <color indexed="81"/>
            <rFont val="Tahoma"/>
            <charset val="1"/>
          </rPr>
          <t>This needs to be the same number that is inputted into CalEEMod under "Light Industry"</t>
        </r>
      </text>
    </comment>
  </commentList>
</comments>
</file>

<file path=xl/comments2.xml><?xml version="1.0" encoding="utf-8"?>
<comments xmlns="http://schemas.openxmlformats.org/spreadsheetml/2006/main">
  <authors>
    <author>Krista Nightingale</author>
  </authors>
  <commentList>
    <comment ref="B5" authorId="0" shapeId="0">
      <text>
        <r>
          <rPr>
            <sz val="9"/>
            <color indexed="81"/>
            <rFont val="Tahoma"/>
            <charset val="1"/>
          </rPr>
          <t>This needs to be the same number that is inputted into CalEEMod under "Light Industry"</t>
        </r>
      </text>
    </comment>
    <comment ref="A42" authorId="0" shapeId="0">
      <text>
        <r>
          <rPr>
            <b/>
            <sz val="9"/>
            <color indexed="81"/>
            <rFont val="Tahoma"/>
            <charset val="1"/>
          </rPr>
          <t>Krista Nightingale: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<sst xmlns="http://schemas.openxmlformats.org/spreadsheetml/2006/main" count="690" uniqueCount="279">
  <si>
    <t>SF</t>
  </si>
  <si>
    <t>Project Information</t>
  </si>
  <si>
    <t>Winery Special Events</t>
  </si>
  <si>
    <t>Gatherings</t>
  </si>
  <si>
    <t>Weekend</t>
  </si>
  <si>
    <t>Weekday</t>
  </si>
  <si>
    <t>ADT</t>
  </si>
  <si>
    <t>Worst Case Day</t>
  </si>
  <si>
    <t>Size</t>
  </si>
  <si>
    <t>Yes</t>
  </si>
  <si>
    <t>No</t>
  </si>
  <si>
    <t>Model the worst case day to estimate criteria pollutant emissions.</t>
  </si>
  <si>
    <t>Input Data</t>
  </si>
  <si>
    <t>Data</t>
  </si>
  <si>
    <t>Units</t>
  </si>
  <si>
    <t>Red Wine Production</t>
  </si>
  <si>
    <t>gal/yr</t>
  </si>
  <si>
    <t>cases/yr</t>
  </si>
  <si>
    <t>White Wine Production</t>
  </si>
  <si>
    <t>Red Wine Aged in Oak</t>
  </si>
  <si>
    <t>%</t>
  </si>
  <si>
    <t>White Wine Aged in Oak</t>
  </si>
  <si>
    <t>Red Wine Aged in Oak Capacity</t>
  </si>
  <si>
    <t>gallons</t>
  </si>
  <si>
    <t>White Wine Aged in Oak Capacity</t>
  </si>
  <si>
    <t>Maximum Red Wine Fermented</t>
  </si>
  <si>
    <t xml:space="preserve">Maximum White Wine Fermented </t>
  </si>
  <si>
    <t>days</t>
  </si>
  <si>
    <t xml:space="preserve">Max Daily Red Wine Aging in Oak </t>
  </si>
  <si>
    <t xml:space="preserve">Max Daily White Wine Aging in Oak </t>
  </si>
  <si>
    <t>Gal/Case =</t>
  </si>
  <si>
    <t>Red</t>
  </si>
  <si>
    <t>White</t>
  </si>
  <si>
    <t>Reference</t>
  </si>
  <si>
    <t>Fermentation</t>
  </si>
  <si>
    <t>lb/1000 gal</t>
  </si>
  <si>
    <t>ARB, March 2005</t>
  </si>
  <si>
    <t xml:space="preserve">Aging/Storage </t>
  </si>
  <si>
    <t>lb/1000 gal-yr</t>
  </si>
  <si>
    <t>APCD</t>
  </si>
  <si>
    <t>Notes:</t>
  </si>
  <si>
    <t>(a)  Aging emission factor based on % loss wine per year in oak cooperage.  (ETOH = ethanol)</t>
  </si>
  <si>
    <t xml:space="preserve">      -  Aging EF = (gal wine evap/gal wine) * (lb wine evap/gal wine evap) * (lb ETOH/lb wine evap)*(1000/1000)</t>
  </si>
  <si>
    <t>SG ETOH =</t>
  </si>
  <si>
    <t>MSDS</t>
  </si>
  <si>
    <t>Density of Water =</t>
  </si>
  <si>
    <t>lb/gal</t>
  </si>
  <si>
    <t>standard</t>
  </si>
  <si>
    <t>Density ETOH =</t>
  </si>
  <si>
    <t>calculated</t>
  </si>
  <si>
    <t>ETOH Vol % Red =</t>
  </si>
  <si>
    <t>gal/gal wine</t>
  </si>
  <si>
    <t>assumption</t>
  </si>
  <si>
    <t>ETOH Vol % White =</t>
  </si>
  <si>
    <t>ETOH Wt % Red =</t>
  </si>
  <si>
    <t>lb/lb wine</t>
  </si>
  <si>
    <t>ETOH Wt % White =</t>
  </si>
  <si>
    <t>Density (Red Wine) =</t>
  </si>
  <si>
    <t>Density (Wt Wine) =</t>
  </si>
  <si>
    <t>% Wine Loss by Vol =</t>
  </si>
  <si>
    <t>APCD (loss of wine)</t>
  </si>
  <si>
    <t>Process</t>
  </si>
  <si>
    <t>usage</t>
  </si>
  <si>
    <t>units</t>
  </si>
  <si>
    <t>EF</t>
  </si>
  <si>
    <t>lb/year</t>
  </si>
  <si>
    <t>Total =</t>
  </si>
  <si>
    <t>tpy</t>
  </si>
  <si>
    <t>lb/day</t>
  </si>
  <si>
    <t>gal/cycle</t>
  </si>
  <si>
    <t>gal/day</t>
  </si>
  <si>
    <t>lb/1000 gal-day</t>
  </si>
  <si>
    <t>Maximum Daily Wine ROC Emissions  (ethanol)</t>
  </si>
  <si>
    <t>Annual Wine ROC Emissions (ethanol)</t>
  </si>
  <si>
    <t>EF red wine</t>
  </si>
  <si>
    <t>EF white wine</t>
  </si>
  <si>
    <t>Red Wine Emissions</t>
  </si>
  <si>
    <t>gallons/year</t>
  </si>
  <si>
    <t>lbs CO2/year</t>
  </si>
  <si>
    <t>Annual CO2 Emissions from Fermentation</t>
  </si>
  <si>
    <t>White Wine Emissions</t>
  </si>
  <si>
    <t>Long Term Operational Impacts</t>
  </si>
  <si>
    <t>Equipment</t>
  </si>
  <si>
    <r>
      <t xml:space="preserve">Please select </t>
    </r>
    <r>
      <rPr>
        <b/>
        <sz val="11"/>
        <color theme="1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or </t>
    </r>
    <r>
      <rPr>
        <b/>
        <sz val="11"/>
        <color theme="1"/>
        <rFont val="Calibri"/>
        <family val="2"/>
        <scheme val="minor"/>
      </rPr>
      <t>No</t>
    </r>
    <r>
      <rPr>
        <sz val="11"/>
        <color theme="1"/>
        <rFont val="Calibri"/>
        <family val="2"/>
        <scheme val="minor"/>
      </rPr>
      <t xml:space="preserve"> to the questions below based on the winery project description.</t>
    </r>
  </si>
  <si>
    <t>Annual Average Day</t>
  </si>
  <si>
    <t>Occurrences per year</t>
  </si>
  <si>
    <t>Assumptions</t>
  </si>
  <si>
    <t>Weekdays per year</t>
  </si>
  <si>
    <t>Weekend days per year</t>
  </si>
  <si>
    <t>Average Daily Trips</t>
  </si>
  <si>
    <t>Total Trips per year</t>
  </si>
  <si>
    <t>A</t>
  </si>
  <si>
    <t>B</t>
  </si>
  <si>
    <t>Events per year</t>
  </si>
  <si>
    <t>*Trip Generation Info</t>
  </si>
  <si>
    <t>If winery can have to Winery Special Events, Gatherings, and regular business all in one day.</t>
  </si>
  <si>
    <t>If winery can have Gatherings on days with normal business but Winery Special Events will take place on their own day.</t>
  </si>
  <si>
    <t>C</t>
  </si>
  <si>
    <t>If winery will have Winery Special Events, Gatherings, and regular business on separate days.</t>
  </si>
  <si>
    <t>If winery can have Special Events on days with normal business but Gatherings will take place on their own day.</t>
  </si>
  <si>
    <t>D</t>
  </si>
  <si>
    <t>If winery can have Winery Special Events or Gatherings with regular business on the same day but not all 3 events on the same day.</t>
  </si>
  <si>
    <t>E</t>
  </si>
  <si>
    <t>?</t>
  </si>
  <si>
    <t>Criteria</t>
  </si>
  <si>
    <t>Scenario</t>
  </si>
  <si>
    <t>NA</t>
  </si>
  <si>
    <t>Trips/year</t>
  </si>
  <si>
    <t>ADT/1,000 SF</t>
  </si>
  <si>
    <t>Trip Generation Info</t>
  </si>
  <si>
    <t>Key</t>
  </si>
  <si>
    <t>*Put this value into the CalEEMod Summer Emissions Estimate. Will get Criteria Pollutant emissions in lbs/day on worst case day.</t>
  </si>
  <si>
    <t>Scenarios A-E</t>
  </si>
  <si>
    <t>*Put this value into the CalEEMod Annual Emissions Estimate. Will use to get GHG emissions in tons/year based on annual average.</t>
  </si>
  <si>
    <t>*Based on the project description and the answers to Q1-3 the project will fit one of the below scenarios.</t>
  </si>
  <si>
    <t>Please fill in these boxes with project specific information.</t>
  </si>
  <si>
    <t>1,000 SF</t>
  </si>
  <si>
    <t>Model what the average year to estimate GHGs.</t>
  </si>
  <si>
    <t>Days per year</t>
  </si>
  <si>
    <t>Scenarios</t>
  </si>
  <si>
    <t>Which scenario fits the project description?</t>
  </si>
  <si>
    <t>lbs CO2/1000 gal red wine</t>
  </si>
  <si>
    <t>lbs CO2/1000 gal white wine</t>
  </si>
  <si>
    <t>Annual Wine Production</t>
  </si>
  <si>
    <t>Daily Wine Production</t>
  </si>
  <si>
    <t>Winery Production Assumptions</t>
  </si>
  <si>
    <t>*Fermentation Cycle - Red Wine</t>
  </si>
  <si>
    <t>*Fermentation Cycle - White Wine</t>
  </si>
  <si>
    <t>* % Red Fermenting Daily =</t>
  </si>
  <si>
    <t>* % White Fermenting Daily =</t>
  </si>
  <si>
    <t>* % Red Oak Aging Daily =</t>
  </si>
  <si>
    <t>* % White Oak Aging Daily =</t>
  </si>
  <si>
    <t>*If no project specific information is available please use the given defaults.</t>
  </si>
  <si>
    <t>Emission Factors (EF)</t>
  </si>
  <si>
    <t>Criteria Pollutant Wine Emissions</t>
  </si>
  <si>
    <t>Total ROC (ethanol) Emissions=</t>
  </si>
  <si>
    <t>Diesel Engine</t>
  </si>
  <si>
    <t>Boiler Emissions - Natural Gas</t>
  </si>
  <si>
    <t>Basis</t>
  </si>
  <si>
    <t>applicant</t>
  </si>
  <si>
    <t>MMBtu/hr</t>
  </si>
  <si>
    <t>Daily Heat Input</t>
  </si>
  <si>
    <t>MMBtu/day</t>
  </si>
  <si>
    <t>assumes daily load =</t>
  </si>
  <si>
    <t>Annual Heat Input</t>
  </si>
  <si>
    <t>MMBtu/yr</t>
  </si>
  <si>
    <t>assumes annual load =</t>
  </si>
  <si>
    <t>Rule 342</t>
  </si>
  <si>
    <t>R360-A</t>
  </si>
  <si>
    <t>Rule 360-B</t>
  </si>
  <si>
    <t>Rule 361</t>
  </si>
  <si>
    <t>NOx</t>
  </si>
  <si>
    <t>lb/MMBtu</t>
  </si>
  <si>
    <t>ROC</t>
  </si>
  <si>
    <t>CO</t>
  </si>
  <si>
    <t>SOx</t>
  </si>
  <si>
    <t>PM/PM10</t>
  </si>
  <si>
    <t>Emissions</t>
  </si>
  <si>
    <t>lbs/day</t>
  </si>
  <si>
    <t>Diesel Firewater Pump Engine/Emergency Generator Engine</t>
  </si>
  <si>
    <t>Engine Rating</t>
  </si>
  <si>
    <t>bhp</t>
  </si>
  <si>
    <t>Engine Tier</t>
  </si>
  <si>
    <t>Daily M&amp;T</t>
  </si>
  <si>
    <t>hrs/yr</t>
  </si>
  <si>
    <t>Annual M&amp;T</t>
  </si>
  <si>
    <t>Sulfur in Fuel</t>
  </si>
  <si>
    <t>wt %</t>
  </si>
  <si>
    <t>g/bhp-hr</t>
  </si>
  <si>
    <t>Equipment Criteria Pollutant Emissions</t>
  </si>
  <si>
    <t>Application</t>
  </si>
  <si>
    <t>ATCM</t>
  </si>
  <si>
    <t>NFPA</t>
  </si>
  <si>
    <t>Equipment GHG Emissions</t>
  </si>
  <si>
    <t>Combustion Equipment GHG Emission Factors</t>
  </si>
  <si>
    <t>Will there be boilers?</t>
  </si>
  <si>
    <t>Will there be a diesel generator?</t>
  </si>
  <si>
    <t>Natural Gas</t>
  </si>
  <si>
    <t>Propane</t>
  </si>
  <si>
    <t>Diesel</t>
  </si>
  <si>
    <t>Fuel</t>
  </si>
  <si>
    <t>lbs CO2e/MMBtu</t>
  </si>
  <si>
    <t>g/hp-hr</t>
  </si>
  <si>
    <t>GHGs From Equipment</t>
  </si>
  <si>
    <t>Boiler Information</t>
  </si>
  <si>
    <t>Will the boilers be propane or natural gas?</t>
  </si>
  <si>
    <t>MT</t>
  </si>
  <si>
    <t>lbs</t>
  </si>
  <si>
    <t>Conversions</t>
  </si>
  <si>
    <t>year</t>
  </si>
  <si>
    <t>day</t>
  </si>
  <si>
    <t>hours</t>
  </si>
  <si>
    <t>Total GHG Emissions</t>
  </si>
  <si>
    <t>MT CO2e/yr</t>
  </si>
  <si>
    <t>Total Annual Heat Input</t>
  </si>
  <si>
    <t>Diesel Generator</t>
  </si>
  <si>
    <t>g</t>
  </si>
  <si>
    <t>Date</t>
  </si>
  <si>
    <t>Project Name</t>
  </si>
  <si>
    <t>CalEEMod</t>
  </si>
  <si>
    <t>Mobile</t>
  </si>
  <si>
    <t>Total</t>
  </si>
  <si>
    <t>ROG/ROC (lbs/day)</t>
  </si>
  <si>
    <t>NOx (lbs/day)</t>
  </si>
  <si>
    <t>PM (lbs/day)</t>
  </si>
  <si>
    <t>Source</t>
  </si>
  <si>
    <t>Annual Greenhouse Gas Emissions</t>
  </si>
  <si>
    <t>MT CO2/year</t>
  </si>
  <si>
    <t>Wine Emission Factors</t>
  </si>
  <si>
    <t>Boiler Criteria Pollutant Emissions</t>
  </si>
  <si>
    <t>M&amp;T=Maintanence and Testing</t>
  </si>
  <si>
    <t>Diesel Engine Information</t>
  </si>
  <si>
    <t>Diesel Engine Criteria Pollutant Emissions</t>
  </si>
  <si>
    <t>This is a final calculation to be used in CalEEMod and/or the CEQA document.</t>
  </si>
  <si>
    <t>This data is automatically calculated based on project information and defaults.</t>
  </si>
  <si>
    <t>ton</t>
  </si>
  <si>
    <t>Conversions and Emission Factors</t>
  </si>
  <si>
    <t>Winery Specific Trip Rate Calculations for Use in CalEEMod</t>
  </si>
  <si>
    <t>Engine Power</t>
  </si>
  <si>
    <t>100-175</t>
  </si>
  <si>
    <t>50-75</t>
  </si>
  <si>
    <t>75-100</t>
  </si>
  <si>
    <t>175-300</t>
  </si>
  <si>
    <t>300-750</t>
  </si>
  <si>
    <t>Diesel Engine Emission Factors</t>
  </si>
  <si>
    <t>Boiler - Propane Emission Factors</t>
  </si>
  <si>
    <t>Max Heat Input Rating</t>
  </si>
  <si>
    <t>min</t>
  </si>
  <si>
    <t>max</t>
  </si>
  <si>
    <t>btu/hr</t>
  </si>
  <si>
    <t>Boiler</t>
  </si>
  <si>
    <t>*wt%S=EF</t>
  </si>
  <si>
    <t>SOx EF Calc</t>
  </si>
  <si>
    <t>*SOx</t>
  </si>
  <si>
    <t>*SOx Emission Factor</t>
  </si>
  <si>
    <t>btu</t>
  </si>
  <si>
    <t>MMBtu</t>
  </si>
  <si>
    <t>What Rule Applies?</t>
  </si>
  <si>
    <t>Rule 360-A</t>
  </si>
  <si>
    <t>Trip Rate Assumptions</t>
  </si>
  <si>
    <t>Winery Emissions Summary for CEQA</t>
  </si>
  <si>
    <t>Project Data Input</t>
  </si>
  <si>
    <t>Building Size and Use Information</t>
  </si>
  <si>
    <t>Winery Data</t>
  </si>
  <si>
    <t xml:space="preserve"> </t>
  </si>
  <si>
    <t>Boiler - Natural Gas Emission Factors</t>
  </si>
  <si>
    <t>Tier</t>
  </si>
  <si>
    <t>Max Hours per year</t>
  </si>
  <si>
    <t>hrs/day</t>
  </si>
  <si>
    <t>EF (lb/MMBtu)</t>
  </si>
  <si>
    <t>If the facility will use engines greater than 750 bhp, their emissions must be calculated separately.</t>
  </si>
  <si>
    <t>This spreadsheet will calculate emissions for engines up to 750 bhp that meet Tier 2, 3, or 4 emission standards.</t>
  </si>
  <si>
    <t>If the facility uses existing Tier 1 or Tier 0 engines, their emissions must be calculated separately.</t>
  </si>
  <si>
    <t xml:space="preserve">Boiler emissions in this spreadsheet are calculated for newly installed boilers that meet applicable emission limits. </t>
  </si>
  <si>
    <t>If the facility is using existing boilers, their emissions must be calculated separately.</t>
  </si>
  <si>
    <t>These emission calculations are approximate for engines less than 50 bhp.</t>
  </si>
  <si>
    <t>This data is project specific and copied from the "Project Data Input" sheet.</t>
  </si>
  <si>
    <t>Project Name:</t>
  </si>
  <si>
    <t>Date:</t>
  </si>
  <si>
    <t>Winery Excel for CEQA</t>
  </si>
  <si>
    <t>Will there be a boiler?</t>
  </si>
  <si>
    <t>Will the boiler be propane or natural gas?</t>
  </si>
  <si>
    <t>Will the boiler be natural gas-fired or propane-fired?</t>
  </si>
  <si>
    <t>Maintenance &amp; Testing</t>
  </si>
  <si>
    <t>Engine Horsepower Rating</t>
  </si>
  <si>
    <t>*Max Hours per day</t>
  </si>
  <si>
    <t>Project Specific Trip Rates for CalEEMod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</si>
  <si>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Worst Case Day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</si>
  <si>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Annual Average Day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</si>
  <si>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Use </t>
    </r>
    <r>
      <rPr>
        <i/>
        <sz val="11"/>
        <color theme="1"/>
        <rFont val="Calibri"/>
        <family val="2"/>
        <scheme val="minor"/>
      </rPr>
      <t>Summer</t>
    </r>
    <r>
      <rPr>
        <sz val="11"/>
        <color theme="1"/>
        <rFont val="Calibri"/>
        <family val="2"/>
        <scheme val="minor"/>
      </rPr>
      <t xml:space="preserve"> report to estimate criteria pollutant emissions (lbs/day of NOx, ROC, &amp; PM10)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</si>
  <si>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Use </t>
    </r>
    <r>
      <rPr>
        <i/>
        <sz val="11"/>
        <color theme="1"/>
        <rFont val="Calibri"/>
        <family val="2"/>
        <scheme val="minor"/>
      </rPr>
      <t>Annual</t>
    </r>
    <r>
      <rPr>
        <sz val="11"/>
        <color theme="1"/>
        <rFont val="Calibri"/>
        <family val="2"/>
        <scheme val="minor"/>
      </rPr>
      <t xml:space="preserve"> report to estimate yearly GHG emissions (MT CO2e/yr)</t>
    </r>
  </si>
  <si>
    <t>These tables can be copied and used the CEQA document.</t>
  </si>
  <si>
    <t>N/A</t>
  </si>
  <si>
    <t>Daily Criteria Pollutant Emissions</t>
  </si>
  <si>
    <t>Annual GHG Emissions</t>
  </si>
  <si>
    <t>Will the winery have regular business and gatherings on the same day?</t>
  </si>
  <si>
    <t>Will the winery have regular business and special events on the same day?</t>
  </si>
  <si>
    <t>Will the winery have regular business, gatherings, and special events all on the same day?</t>
  </si>
  <si>
    <t>Will the winery have regular business and special events on the same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</si>
</sst>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%"/>
    <numFmt numFmtId="167" formatCode="#,##0.0000"/>
    <numFmt numFmtId="168" formatCode="0.0000"/>
    <numFmt numFmtId="169" formatCode="0.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</font>
    <font>
      <b/>
      <sz val="12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sz val="8"/>
      <color theme="9" tint="-0.499984740745262"/>
      <name val="Arial"/>
      <family val="2"/>
    </font>
    <font>
      <sz val="8"/>
      <color rgb="FF0070C0"/>
      <name val="Arial"/>
      <family val="2"/>
    </font>
    <font>
      <sz val="5"/>
      <name val="Arial"/>
      <family val="2"/>
    </font>
    <font>
      <sz val="8"/>
      <color indexed="12"/>
      <name val="Arial"/>
      <family val="2"/>
    </font>
    <font>
      <sz val="11"/>
      <color theme="9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i/>
      <sz val="11"/>
      <name val="Calibri"/>
      <family val="2"/>
      <scheme val="minor"/>
    </font>
    <font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</font>
    <font>
      <u/>
      <sz val="10"/>
      <color indexed="12"/>
      <name val="Arial"/>
    </font>
    <font>
      <i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  <family val="2"/>
    </font>
    <font>
      <b/>
      <u/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/>
    <xf numFmtId="0" fontId="21" fillId="0" borderId="0" applyNumberFormat="0" applyFill="0" applyBorder="0" applyAlignment="0" applyProtection="0">
      <alignment vertical="top"/>
      <protection locked="0"/>
    </xf>
    <xf numFmtId="9" fontId="20" fillId="0" borderId="0" applyFont="0" applyFill="0" applyBorder="0" applyAlignment="0" applyProtection="0"/>
  </cellStyleXfs>
  <cellXfs count="646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/>
    </xf>
    <xf numFmtId="0" fontId="0" fillId="0" borderId="3" xfId="0" applyBorder="1"/>
    <xf numFmtId="0" fontId="0" fillId="0" borderId="0" xfId="0" applyBorder="1"/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0" xfId="0" quotePrefix="1" applyFont="1" applyAlignment="1">
      <alignment horizontal="left"/>
    </xf>
    <xf numFmtId="0" fontId="9" fillId="0" borderId="0" xfId="0" quotePrefix="1" applyFont="1" applyAlignment="1">
      <alignment horizontal="left"/>
    </xf>
    <xf numFmtId="0" fontId="6" fillId="0" borderId="0" xfId="0" quotePrefix="1" applyFont="1"/>
    <xf numFmtId="0" fontId="10" fillId="0" borderId="0" xfId="0" applyFont="1" applyProtection="1">
      <protection locked="0"/>
    </xf>
    <xf numFmtId="0" fontId="0" fillId="0" borderId="14" xfId="0" applyBorder="1"/>
    <xf numFmtId="3" fontId="11" fillId="0" borderId="0" xfId="0" quotePrefix="1" applyNumberFormat="1" applyFont="1" applyBorder="1"/>
    <xf numFmtId="0" fontId="0" fillId="0" borderId="0" xfId="0" applyProtection="1">
      <protection locked="0"/>
    </xf>
    <xf numFmtId="0" fontId="0" fillId="0" borderId="21" xfId="0" applyBorder="1"/>
    <xf numFmtId="0" fontId="0" fillId="0" borderId="33" xfId="0" applyBorder="1"/>
    <xf numFmtId="0" fontId="0" fillId="0" borderId="32" xfId="0" applyBorder="1"/>
    <xf numFmtId="0" fontId="0" fillId="0" borderId="1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23" xfId="0" applyNumberFormat="1" applyFill="1" applyBorder="1"/>
    <xf numFmtId="0" fontId="0" fillId="0" borderId="0" xfId="0" applyFill="1"/>
    <xf numFmtId="0" fontId="0" fillId="0" borderId="45" xfId="0" applyBorder="1"/>
    <xf numFmtId="0" fontId="0" fillId="0" borderId="0" xfId="0" applyFill="1" applyBorder="1"/>
    <xf numFmtId="0" fontId="0" fillId="2" borderId="48" xfId="0" applyFill="1" applyBorder="1"/>
    <xf numFmtId="0" fontId="0" fillId="2" borderId="49" xfId="0" applyFill="1" applyBorder="1"/>
    <xf numFmtId="0" fontId="0" fillId="2" borderId="28" xfId="0" applyFill="1" applyBorder="1"/>
    <xf numFmtId="0" fontId="0" fillId="3" borderId="40" xfId="0" applyFill="1" applyBorder="1"/>
    <xf numFmtId="0" fontId="0" fillId="3" borderId="36" xfId="0" applyFill="1" applyBorder="1"/>
    <xf numFmtId="0" fontId="0" fillId="2" borderId="34" xfId="0" applyFill="1" applyBorder="1"/>
    <xf numFmtId="0" fontId="0" fillId="2" borderId="36" xfId="0" applyFill="1" applyBorder="1"/>
    <xf numFmtId="0" fontId="0" fillId="2" borderId="36" xfId="0" applyFill="1" applyBorder="1" applyAlignment="1">
      <alignment horizontal="center"/>
    </xf>
    <xf numFmtId="0" fontId="0" fillId="3" borderId="17" xfId="0" applyFill="1" applyBorder="1"/>
    <xf numFmtId="0" fontId="0" fillId="3" borderId="38" xfId="0" applyFill="1" applyBorder="1"/>
    <xf numFmtId="0" fontId="0" fillId="3" borderId="11" xfId="0" applyFill="1" applyBorder="1"/>
    <xf numFmtId="0" fontId="0" fillId="2" borderId="30" xfId="0" applyFill="1" applyBorder="1" applyAlignment="1">
      <alignment horizontal="center"/>
    </xf>
    <xf numFmtId="0" fontId="0" fillId="2" borderId="35" xfId="0" applyFill="1" applyBorder="1"/>
    <xf numFmtId="0" fontId="0" fillId="2" borderId="45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26" xfId="0" applyFill="1" applyBorder="1"/>
    <xf numFmtId="0" fontId="0" fillId="2" borderId="29" xfId="0" applyFill="1" applyBorder="1"/>
    <xf numFmtId="0" fontId="0" fillId="2" borderId="3" xfId="0" applyFill="1" applyBorder="1"/>
    <xf numFmtId="0" fontId="0" fillId="2" borderId="37" xfId="0" applyFill="1" applyBorder="1"/>
    <xf numFmtId="0" fontId="0" fillId="2" borderId="12" xfId="0" applyFill="1" applyBorder="1"/>
    <xf numFmtId="0" fontId="0" fillId="2" borderId="15" xfId="0" applyFill="1" applyBorder="1"/>
    <xf numFmtId="0" fontId="0" fillId="4" borderId="36" xfId="0" applyFill="1" applyBorder="1"/>
    <xf numFmtId="0" fontId="0" fillId="0" borderId="18" xfId="0" applyFill="1" applyBorder="1" applyAlignment="1"/>
    <xf numFmtId="0" fontId="0" fillId="0" borderId="20" xfId="0" applyBorder="1"/>
    <xf numFmtId="0" fontId="0" fillId="0" borderId="18" xfId="0" applyBorder="1"/>
    <xf numFmtId="0" fontId="1" fillId="2" borderId="41" xfId="0" applyFont="1" applyFill="1" applyBorder="1" applyAlignment="1">
      <alignment horizontal="center"/>
    </xf>
    <xf numFmtId="0" fontId="0" fillId="0" borderId="50" xfId="0" applyBorder="1"/>
    <xf numFmtId="0" fontId="0" fillId="0" borderId="41" xfId="0" applyBorder="1"/>
    <xf numFmtId="0" fontId="1" fillId="0" borderId="0" xfId="0" applyFont="1" applyBorder="1"/>
    <xf numFmtId="0" fontId="0" fillId="0" borderId="0" xfId="0" applyBorder="1" applyAlignment="1">
      <alignment wrapText="1"/>
    </xf>
    <xf numFmtId="0" fontId="0" fillId="0" borderId="19" xfId="0" applyBorder="1"/>
    <xf numFmtId="2" fontId="0" fillId="0" borderId="19" xfId="0" applyNumberFormat="1" applyBorder="1"/>
    <xf numFmtId="0" fontId="0" fillId="0" borderId="28" xfId="0" applyBorder="1"/>
    <xf numFmtId="0" fontId="0" fillId="0" borderId="40" xfId="0" applyBorder="1"/>
    <xf numFmtId="0" fontId="0" fillId="3" borderId="21" xfId="0" applyFill="1" applyBorder="1"/>
    <xf numFmtId="0" fontId="1" fillId="3" borderId="30" xfId="0" applyFont="1" applyFill="1" applyBorder="1"/>
    <xf numFmtId="0" fontId="0" fillId="3" borderId="36" xfId="0" applyFill="1" applyBorder="1" applyAlignment="1">
      <alignment horizontal="right"/>
    </xf>
    <xf numFmtId="0" fontId="1" fillId="0" borderId="0" xfId="0" applyFont="1" applyFill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3" borderId="7" xfId="0" applyFill="1" applyBorder="1"/>
    <xf numFmtId="0" fontId="1" fillId="0" borderId="0" xfId="0" applyFont="1" applyFill="1" applyBorder="1"/>
    <xf numFmtId="0" fontId="1" fillId="3" borderId="36" xfId="0" applyFont="1" applyFill="1" applyBorder="1"/>
    <xf numFmtId="0" fontId="15" fillId="0" borderId="10" xfId="0" applyFont="1" applyFill="1" applyBorder="1" applyAlignment="1">
      <alignment horizontal="left"/>
    </xf>
    <xf numFmtId="0" fontId="15" fillId="0" borderId="45" xfId="0" applyFont="1" applyFill="1" applyBorder="1" applyAlignment="1">
      <alignment horizontal="left"/>
    </xf>
    <xf numFmtId="0" fontId="15" fillId="0" borderId="14" xfId="0" applyFont="1" applyFill="1" applyBorder="1" applyAlignment="1">
      <alignment horizontal="left"/>
    </xf>
    <xf numFmtId="0" fontId="15" fillId="3" borderId="17" xfId="0" applyFont="1" applyFill="1" applyBorder="1"/>
    <xf numFmtId="0" fontId="15" fillId="3" borderId="38" xfId="0" applyFont="1" applyFill="1" applyBorder="1"/>
    <xf numFmtId="0" fontId="15" fillId="3" borderId="11" xfId="0" applyFont="1" applyFill="1" applyBorder="1"/>
    <xf numFmtId="0" fontId="15" fillId="0" borderId="45" xfId="0" applyFont="1" applyBorder="1" applyAlignment="1"/>
    <xf numFmtId="0" fontId="15" fillId="0" borderId="14" xfId="0" applyFont="1" applyBorder="1" applyAlignment="1"/>
    <xf numFmtId="0" fontId="0" fillId="0" borderId="0" xfId="0" applyFont="1"/>
    <xf numFmtId="0" fontId="0" fillId="3" borderId="39" xfId="0" applyFont="1" applyFill="1" applyBorder="1"/>
    <xf numFmtId="0" fontId="0" fillId="3" borderId="40" xfId="0" applyFont="1" applyFill="1" applyBorder="1"/>
    <xf numFmtId="0" fontId="0" fillId="3" borderId="38" xfId="0" applyFont="1" applyFill="1" applyBorder="1"/>
    <xf numFmtId="0" fontId="0" fillId="3" borderId="11" xfId="0" applyFont="1" applyFill="1" applyBorder="1"/>
    <xf numFmtId="3" fontId="0" fillId="0" borderId="0" xfId="0" applyNumberFormat="1" applyFont="1" applyProtection="1">
      <protection locked="0"/>
    </xf>
    <xf numFmtId="0" fontId="0" fillId="0" borderId="0" xfId="0" applyFont="1" applyAlignment="1">
      <alignment horizontal="left" indent="1"/>
    </xf>
    <xf numFmtId="0" fontId="0" fillId="3" borderId="36" xfId="0" applyFont="1" applyFill="1" applyBorder="1"/>
    <xf numFmtId="3" fontId="0" fillId="3" borderId="39" xfId="0" applyNumberFormat="1" applyFont="1" applyFill="1" applyBorder="1" applyProtection="1">
      <protection locked="0"/>
    </xf>
    <xf numFmtId="0" fontId="0" fillId="3" borderId="40" xfId="0" applyFont="1" applyFill="1" applyBorder="1" applyAlignment="1">
      <alignment horizontal="left" indent="1"/>
    </xf>
    <xf numFmtId="0" fontId="0" fillId="0" borderId="0" xfId="0" applyFont="1" applyProtection="1"/>
    <xf numFmtId="0" fontId="0" fillId="3" borderId="55" xfId="0" applyFont="1" applyFill="1" applyBorder="1" applyAlignment="1">
      <alignment horizontal="right"/>
    </xf>
    <xf numFmtId="0" fontId="17" fillId="0" borderId="0" xfId="0" applyFont="1"/>
    <xf numFmtId="0" fontId="18" fillId="0" borderId="0" xfId="0" applyFont="1" applyAlignment="1">
      <alignment horizontal="center"/>
    </xf>
    <xf numFmtId="3" fontId="15" fillId="2" borderId="44" xfId="0" applyNumberFormat="1" applyFont="1" applyFill="1" applyBorder="1" applyProtection="1"/>
    <xf numFmtId="164" fontId="16" fillId="0" borderId="0" xfId="1" applyNumberFormat="1" applyFont="1" applyProtection="1">
      <protection locked="0"/>
    </xf>
    <xf numFmtId="0" fontId="15" fillId="0" borderId="0" xfId="0" applyFont="1"/>
    <xf numFmtId="3" fontId="15" fillId="2" borderId="23" xfId="0" applyNumberFormat="1" applyFont="1" applyFill="1" applyBorder="1" applyProtection="1"/>
    <xf numFmtId="3" fontId="15" fillId="2" borderId="3" xfId="0" applyNumberFormat="1" applyFont="1" applyFill="1" applyBorder="1" applyProtection="1"/>
    <xf numFmtId="0" fontId="15" fillId="0" borderId="29" xfId="0" applyFont="1" applyBorder="1" applyAlignment="1"/>
    <xf numFmtId="164" fontId="12" fillId="0" borderId="0" xfId="1" applyNumberFormat="1" applyFont="1"/>
    <xf numFmtId="3" fontId="15" fillId="2" borderId="37" xfId="0" applyNumberFormat="1" applyFont="1" applyFill="1" applyBorder="1" applyProtection="1"/>
    <xf numFmtId="1" fontId="15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3" fontId="15" fillId="2" borderId="12" xfId="0" applyNumberFormat="1" applyFont="1" applyFill="1" applyBorder="1" applyProtection="1"/>
    <xf numFmtId="0" fontId="15" fillId="3" borderId="56" xfId="0" applyFont="1" applyFill="1" applyBorder="1" applyAlignment="1">
      <alignment horizontal="right"/>
    </xf>
    <xf numFmtId="0" fontId="15" fillId="3" borderId="57" xfId="0" applyFont="1" applyFill="1" applyBorder="1" applyAlignment="1">
      <alignment horizontal="right"/>
    </xf>
    <xf numFmtId="165" fontId="15" fillId="0" borderId="7" xfId="0" applyNumberFormat="1" applyFont="1" applyBorder="1" applyProtection="1"/>
    <xf numFmtId="0" fontId="0" fillId="0" borderId="30" xfId="0" applyBorder="1"/>
    <xf numFmtId="0" fontId="0" fillId="0" borderId="31" xfId="0" applyFont="1" applyBorder="1" applyProtection="1"/>
    <xf numFmtId="0" fontId="0" fillId="0" borderId="31" xfId="0" applyBorder="1"/>
    <xf numFmtId="0" fontId="0" fillId="0" borderId="34" xfId="0" applyBorder="1"/>
    <xf numFmtId="0" fontId="0" fillId="3" borderId="30" xfId="0" applyFill="1" applyBorder="1"/>
    <xf numFmtId="0" fontId="0" fillId="0" borderId="29" xfId="0" applyBorder="1" applyAlignment="1">
      <alignment horizontal="center"/>
    </xf>
    <xf numFmtId="0" fontId="0" fillId="3" borderId="46" xfId="0" applyFill="1" applyBorder="1"/>
    <xf numFmtId="0" fontId="0" fillId="3" borderId="40" xfId="0" applyFill="1" applyBorder="1" applyAlignment="1">
      <alignment horizontal="center"/>
    </xf>
    <xf numFmtId="1" fontId="15" fillId="0" borderId="22" xfId="0" applyNumberFormat="1" applyFont="1" applyBorder="1"/>
    <xf numFmtId="1" fontId="15" fillId="0" borderId="23" xfId="0" applyNumberFormat="1" applyFont="1" applyBorder="1"/>
    <xf numFmtId="0" fontId="0" fillId="0" borderId="0" xfId="0" applyFont="1" applyBorder="1"/>
    <xf numFmtId="0" fontId="0" fillId="0" borderId="11" xfId="0" applyFont="1" applyBorder="1"/>
    <xf numFmtId="0" fontId="0" fillId="0" borderId="33" xfId="0" applyFont="1" applyBorder="1"/>
    <xf numFmtId="0" fontId="0" fillId="0" borderId="21" xfId="0" applyFont="1" applyBorder="1"/>
    <xf numFmtId="0" fontId="0" fillId="0" borderId="32" xfId="0" applyFont="1" applyBorder="1"/>
    <xf numFmtId="0" fontId="0" fillId="0" borderId="34" xfId="0" applyFont="1" applyBorder="1" applyAlignment="1">
      <alignment horizontal="center" vertical="center"/>
    </xf>
    <xf numFmtId="0" fontId="19" fillId="0" borderId="0" xfId="0" applyFont="1" applyBorder="1" applyProtection="1">
      <protection locked="0"/>
    </xf>
    <xf numFmtId="0" fontId="15" fillId="0" borderId="2" xfId="0" applyFont="1" applyBorder="1" applyAlignment="1">
      <alignment horizontal="left" indent="1"/>
    </xf>
    <xf numFmtId="0" fontId="15" fillId="0" borderId="29" xfId="0" applyFont="1" applyBorder="1" applyAlignment="1">
      <alignment horizontal="left" indent="1"/>
    </xf>
    <xf numFmtId="0" fontId="15" fillId="0" borderId="27" xfId="0" applyFont="1" applyBorder="1" applyAlignment="1">
      <alignment horizontal="left" indent="1"/>
    </xf>
    <xf numFmtId="0" fontId="15" fillId="0" borderId="14" xfId="0" applyFont="1" applyBorder="1" applyAlignment="1">
      <alignment horizontal="left" indent="1"/>
    </xf>
    <xf numFmtId="0" fontId="19" fillId="0" borderId="20" xfId="0" applyFont="1" applyBorder="1" applyAlignment="1">
      <alignment horizontal="right"/>
    </xf>
    <xf numFmtId="0" fontId="19" fillId="0" borderId="0" xfId="0" applyFont="1"/>
    <xf numFmtId="0" fontId="17" fillId="0" borderId="0" xfId="0" applyFont="1" applyBorder="1" applyAlignment="1">
      <alignment horizontal="right"/>
    </xf>
    <xf numFmtId="0" fontId="20" fillId="0" borderId="0" xfId="3"/>
    <xf numFmtId="0" fontId="4" fillId="0" borderId="0" xfId="3" applyFont="1"/>
    <xf numFmtId="0" fontId="15" fillId="0" borderId="0" xfId="3" applyFont="1"/>
    <xf numFmtId="0" fontId="15" fillId="0" borderId="0" xfId="3" applyFont="1" applyBorder="1"/>
    <xf numFmtId="0" fontId="19" fillId="0" borderId="0" xfId="3" applyFont="1" applyBorder="1" applyAlignment="1">
      <alignment horizontal="center"/>
    </xf>
    <xf numFmtId="2" fontId="15" fillId="0" borderId="0" xfId="3" applyNumberFormat="1" applyFont="1" applyBorder="1" applyAlignment="1">
      <alignment horizontal="center"/>
    </xf>
    <xf numFmtId="0" fontId="15" fillId="0" borderId="62" xfId="3" applyFont="1" applyBorder="1" applyAlignment="1">
      <alignment horizontal="left" indent="1"/>
    </xf>
    <xf numFmtId="2" fontId="15" fillId="0" borderId="41" xfId="3" applyNumberFormat="1" applyFont="1" applyBorder="1" applyAlignment="1">
      <alignment horizontal="center"/>
    </xf>
    <xf numFmtId="0" fontId="15" fillId="0" borderId="35" xfId="3" applyFont="1" applyBorder="1" applyAlignment="1">
      <alignment horizontal="left" indent="1"/>
    </xf>
    <xf numFmtId="0" fontId="15" fillId="0" borderId="13" xfId="3" applyFont="1" applyBorder="1" applyAlignment="1">
      <alignment horizontal="left" indent="1"/>
    </xf>
    <xf numFmtId="0" fontId="15" fillId="0" borderId="26" xfId="3" applyFont="1" applyBorder="1" applyAlignment="1">
      <alignment horizontal="left" indent="1"/>
    </xf>
    <xf numFmtId="0" fontId="15" fillId="0" borderId="29" xfId="3" applyFont="1" applyBorder="1"/>
    <xf numFmtId="0" fontId="15" fillId="3" borderId="36" xfId="3" applyFont="1" applyFill="1" applyBorder="1" applyAlignment="1">
      <alignment horizontal="center"/>
    </xf>
    <xf numFmtId="0" fontId="15" fillId="3" borderId="17" xfId="3" applyFont="1" applyFill="1" applyBorder="1"/>
    <xf numFmtId="0" fontId="15" fillId="3" borderId="38" xfId="3" applyFont="1" applyFill="1" applyBorder="1"/>
    <xf numFmtId="0" fontId="15" fillId="3" borderId="11" xfId="3" applyFont="1" applyFill="1" applyBorder="1"/>
    <xf numFmtId="0" fontId="15" fillId="3" borderId="39" xfId="3" applyFont="1" applyFill="1" applyBorder="1" applyAlignment="1">
      <alignment horizontal="center"/>
    </xf>
    <xf numFmtId="0" fontId="15" fillId="3" borderId="47" xfId="3" applyFont="1" applyFill="1" applyBorder="1" applyAlignment="1">
      <alignment horizontal="center"/>
    </xf>
    <xf numFmtId="0" fontId="15" fillId="3" borderId="40" xfId="3" applyFont="1" applyFill="1" applyBorder="1" applyAlignment="1">
      <alignment horizontal="center"/>
    </xf>
    <xf numFmtId="0" fontId="15" fillId="3" borderId="29" xfId="3" applyFont="1" applyFill="1" applyBorder="1"/>
    <xf numFmtId="0" fontId="15" fillId="3" borderId="45" xfId="3" applyFont="1" applyFill="1" applyBorder="1"/>
    <xf numFmtId="0" fontId="15" fillId="3" borderId="14" xfId="3" applyFont="1" applyFill="1" applyBorder="1"/>
    <xf numFmtId="0" fontId="19" fillId="0" borderId="0" xfId="3" applyFont="1"/>
    <xf numFmtId="0" fontId="15" fillId="3" borderId="17" xfId="3" applyFont="1" applyFill="1" applyBorder="1" applyAlignment="1">
      <alignment horizontal="center"/>
    </xf>
    <xf numFmtId="0" fontId="15" fillId="3" borderId="38" xfId="3" applyFont="1" applyFill="1" applyBorder="1" applyAlignment="1">
      <alignment horizontal="center"/>
    </xf>
    <xf numFmtId="0" fontId="15" fillId="3" borderId="11" xfId="3" applyFont="1" applyFill="1" applyBorder="1" applyAlignment="1">
      <alignment horizontal="center"/>
    </xf>
    <xf numFmtId="0" fontId="15" fillId="3" borderId="31" xfId="3" applyFont="1" applyFill="1" applyBorder="1" applyAlignment="1">
      <alignment horizontal="center"/>
    </xf>
    <xf numFmtId="0" fontId="15" fillId="3" borderId="30" xfId="3" applyFont="1" applyFill="1" applyBorder="1" applyAlignment="1">
      <alignment horizontal="center"/>
    </xf>
    <xf numFmtId="0" fontId="0" fillId="0" borderId="37" xfId="0" applyBorder="1"/>
    <xf numFmtId="0" fontId="0" fillId="0" borderId="12" xfId="0" applyBorder="1"/>
    <xf numFmtId="0" fontId="15" fillId="0" borderId="26" xfId="3" applyFont="1" applyBorder="1" applyProtection="1">
      <protection locked="0"/>
    </xf>
    <xf numFmtId="0" fontId="15" fillId="0" borderId="37" xfId="3" applyFont="1" applyBorder="1" applyProtection="1">
      <protection locked="0"/>
    </xf>
    <xf numFmtId="0" fontId="15" fillId="0" borderId="12" xfId="3" applyFont="1" applyBorder="1" applyProtection="1">
      <protection locked="0"/>
    </xf>
    <xf numFmtId="0" fontId="15" fillId="0" borderId="28" xfId="3" applyFont="1" applyBorder="1"/>
    <xf numFmtId="0" fontId="15" fillId="0" borderId="35" xfId="3" applyFont="1" applyBorder="1" applyAlignment="1">
      <alignment horizontal="right" indent="1"/>
    </xf>
    <xf numFmtId="0" fontId="15" fillId="0" borderId="13" xfId="3" applyFont="1" applyBorder="1" applyAlignment="1">
      <alignment horizontal="right" indent="1"/>
    </xf>
    <xf numFmtId="0" fontId="15" fillId="0" borderId="37" xfId="3" applyFont="1" applyBorder="1" applyAlignment="1">
      <alignment horizontal="left" indent="1"/>
    </xf>
    <xf numFmtId="0" fontId="15" fillId="0" borderId="12" xfId="3" applyFont="1" applyBorder="1" applyAlignment="1">
      <alignment horizontal="left" indent="1"/>
    </xf>
    <xf numFmtId="0" fontId="15" fillId="3" borderId="56" xfId="3" applyFont="1" applyFill="1" applyBorder="1" applyAlignment="1">
      <alignment horizontal="left"/>
    </xf>
    <xf numFmtId="0" fontId="15" fillId="3" borderId="57" xfId="3" applyFont="1" applyFill="1" applyBorder="1" applyAlignment="1">
      <alignment horizontal="left"/>
    </xf>
    <xf numFmtId="0" fontId="15" fillId="0" borderId="44" xfId="3" applyFont="1" applyBorder="1" applyAlignment="1">
      <alignment horizontal="left" indent="1"/>
    </xf>
    <xf numFmtId="9" fontId="15" fillId="2" borderId="45" xfId="5" applyFont="1" applyFill="1" applyBorder="1" applyProtection="1"/>
    <xf numFmtId="9" fontId="15" fillId="4" borderId="14" xfId="5" applyFont="1" applyFill="1" applyBorder="1" applyProtection="1">
      <protection locked="0"/>
    </xf>
    <xf numFmtId="0" fontId="15" fillId="3" borderId="7" xfId="3" applyFont="1" applyFill="1" applyBorder="1" applyAlignment="1">
      <alignment horizontal="left"/>
    </xf>
    <xf numFmtId="0" fontId="15" fillId="3" borderId="17" xfId="3" applyFont="1" applyFill="1" applyBorder="1" applyAlignment="1">
      <alignment horizontal="left"/>
    </xf>
    <xf numFmtId="0" fontId="15" fillId="2" borderId="7" xfId="3" applyFont="1" applyFill="1" applyBorder="1" applyAlignment="1" applyProtection="1">
      <alignment horizontal="right"/>
    </xf>
    <xf numFmtId="0" fontId="0" fillId="0" borderId="43" xfId="0" applyBorder="1"/>
    <xf numFmtId="0" fontId="15" fillId="0" borderId="29" xfId="3" applyFont="1" applyBorder="1" applyAlignment="1">
      <alignment horizontal="center"/>
    </xf>
    <xf numFmtId="0" fontId="0" fillId="3" borderId="39" xfId="0" applyFill="1" applyBorder="1"/>
    <xf numFmtId="0" fontId="0" fillId="3" borderId="54" xfId="0" applyFill="1" applyBorder="1"/>
    <xf numFmtId="0" fontId="0" fillId="0" borderId="64" xfId="0" applyBorder="1" applyAlignment="1">
      <alignment horizontal="center"/>
    </xf>
    <xf numFmtId="0" fontId="0" fillId="0" borderId="40" xfId="0" applyBorder="1" applyAlignment="1">
      <alignment horizontal="center"/>
    </xf>
    <xf numFmtId="0" fontId="22" fillId="3" borderId="36" xfId="0" applyFont="1" applyFill="1" applyBorder="1"/>
    <xf numFmtId="0" fontId="0" fillId="0" borderId="64" xfId="0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0" fontId="0" fillId="0" borderId="0" xfId="0" applyFill="1" applyAlignment="1"/>
    <xf numFmtId="0" fontId="0" fillId="3" borderId="45" xfId="0" applyFill="1" applyBorder="1"/>
    <xf numFmtId="0" fontId="0" fillId="3" borderId="39" xfId="0" applyFill="1" applyBorder="1" applyAlignment="1">
      <alignment horizontal="center" wrapText="1"/>
    </xf>
    <xf numFmtId="0" fontId="0" fillId="3" borderId="47" xfId="0" applyFill="1" applyBorder="1" applyAlignment="1">
      <alignment horizontal="center" wrapText="1"/>
    </xf>
    <xf numFmtId="0" fontId="0" fillId="3" borderId="40" xfId="0" applyFill="1" applyBorder="1" applyAlignment="1">
      <alignment horizontal="center" wrapText="1"/>
    </xf>
    <xf numFmtId="0" fontId="0" fillId="3" borderId="64" xfId="0" applyFill="1" applyBorder="1"/>
    <xf numFmtId="0" fontId="0" fillId="3" borderId="45" xfId="0" applyFill="1" applyBorder="1" applyAlignment="1"/>
    <xf numFmtId="0" fontId="0" fillId="3" borderId="34" xfId="0" applyFill="1" applyBorder="1"/>
    <xf numFmtId="0" fontId="0" fillId="3" borderId="64" xfId="0" applyFill="1" applyBorder="1" applyAlignment="1">
      <alignment horizontal="left"/>
    </xf>
    <xf numFmtId="2" fontId="0" fillId="2" borderId="37" xfId="0" applyNumberFormat="1" applyFill="1" applyBorder="1"/>
    <xf numFmtId="2" fontId="0" fillId="2" borderId="1" xfId="0" applyNumberFormat="1" applyFill="1" applyBorder="1"/>
    <xf numFmtId="0" fontId="22" fillId="3" borderId="16" xfId="0" applyFont="1" applyFill="1" applyBorder="1"/>
    <xf numFmtId="0" fontId="0" fillId="3" borderId="7" xfId="0" applyFill="1" applyBorder="1" applyAlignment="1">
      <alignment horizontal="left"/>
    </xf>
    <xf numFmtId="0" fontId="0" fillId="3" borderId="55" xfId="0" applyFill="1" applyBorder="1" applyAlignment="1">
      <alignment horizontal="left"/>
    </xf>
    <xf numFmtId="2" fontId="0" fillId="2" borderId="52" xfId="0" applyNumberFormat="1" applyFill="1" applyBorder="1"/>
    <xf numFmtId="1" fontId="0" fillId="2" borderId="52" xfId="0" applyNumberFormat="1" applyFill="1" applyBorder="1"/>
    <xf numFmtId="2" fontId="0" fillId="2" borderId="69" xfId="0" applyNumberFormat="1" applyFill="1" applyBorder="1"/>
    <xf numFmtId="4" fontId="0" fillId="2" borderId="37" xfId="0" applyNumberFormat="1" applyFill="1" applyBorder="1"/>
    <xf numFmtId="2" fontId="0" fillId="2" borderId="35" xfId="0" applyNumberFormat="1" applyFill="1" applyBorder="1"/>
    <xf numFmtId="2" fontId="0" fillId="2" borderId="45" xfId="0" applyNumberFormat="1" applyFill="1" applyBorder="1"/>
    <xf numFmtId="2" fontId="0" fillId="2" borderId="66" xfId="0" applyNumberFormat="1" applyFill="1" applyBorder="1"/>
    <xf numFmtId="2" fontId="0" fillId="2" borderId="64" xfId="0" applyNumberFormat="1" applyFill="1" applyBorder="1"/>
    <xf numFmtId="0" fontId="0" fillId="0" borderId="35" xfId="0" applyFill="1" applyBorder="1"/>
    <xf numFmtId="0" fontId="0" fillId="0" borderId="45" xfId="0" applyFill="1" applyBorder="1"/>
    <xf numFmtId="0" fontId="0" fillId="0" borderId="7" xfId="0" applyFont="1" applyBorder="1"/>
    <xf numFmtId="2" fontId="0" fillId="0" borderId="8" xfId="0" applyNumberFormat="1" applyFont="1" applyBorder="1" applyAlignment="1">
      <alignment horizontal="center"/>
    </xf>
    <xf numFmtId="2" fontId="0" fillId="0" borderId="9" xfId="0" applyNumberFormat="1" applyFont="1" applyBorder="1" applyAlignment="1">
      <alignment horizontal="center"/>
    </xf>
    <xf numFmtId="0" fontId="0" fillId="0" borderId="9" xfId="0" applyFont="1" applyBorder="1"/>
    <xf numFmtId="0" fontId="0" fillId="0" borderId="10" xfId="0" applyFont="1" applyBorder="1"/>
    <xf numFmtId="0" fontId="0" fillId="0" borderId="13" xfId="0" applyFont="1" applyBorder="1"/>
    <xf numFmtId="0" fontId="0" fillId="0" borderId="14" xfId="0" applyFont="1" applyBorder="1"/>
    <xf numFmtId="0" fontId="23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0" fontId="0" fillId="0" borderId="35" xfId="0" applyBorder="1"/>
    <xf numFmtId="0" fontId="0" fillId="0" borderId="44" xfId="0" applyBorder="1"/>
    <xf numFmtId="0" fontId="0" fillId="0" borderId="0" xfId="0" applyFont="1" applyFill="1" applyBorder="1"/>
    <xf numFmtId="2" fontId="12" fillId="0" borderId="0" xfId="3" applyNumberFormat="1" applyFont="1" applyBorder="1" applyAlignment="1">
      <alignment horizontal="center"/>
    </xf>
    <xf numFmtId="0" fontId="15" fillId="0" borderId="3" xfId="3" applyFont="1" applyBorder="1" applyProtection="1"/>
    <xf numFmtId="165" fontId="15" fillId="0" borderId="59" xfId="3" applyNumberFormat="1" applyFont="1" applyBorder="1" applyProtection="1"/>
    <xf numFmtId="2" fontId="15" fillId="5" borderId="29" xfId="3" applyNumberFormat="1" applyFont="1" applyFill="1" applyBorder="1" applyAlignment="1">
      <alignment horizontal="center"/>
    </xf>
    <xf numFmtId="0" fontId="19" fillId="3" borderId="36" xfId="3" applyFont="1" applyFill="1" applyBorder="1" applyAlignment="1">
      <alignment horizontal="center"/>
    </xf>
    <xf numFmtId="0" fontId="19" fillId="3" borderId="39" xfId="3" applyFont="1" applyFill="1" applyBorder="1" applyAlignment="1">
      <alignment horizontal="center"/>
    </xf>
    <xf numFmtId="0" fontId="19" fillId="3" borderId="40" xfId="3" applyFont="1" applyFill="1" applyBorder="1" applyAlignment="1">
      <alignment horizontal="center"/>
    </xf>
    <xf numFmtId="0" fontId="19" fillId="3" borderId="47" xfId="3" applyFont="1" applyFill="1" applyBorder="1" applyAlignment="1">
      <alignment horizontal="center"/>
    </xf>
    <xf numFmtId="0" fontId="19" fillId="3" borderId="58" xfId="3" applyFont="1" applyFill="1" applyBorder="1" applyAlignment="1">
      <alignment horizontal="center"/>
    </xf>
    <xf numFmtId="0" fontId="19" fillId="3" borderId="30" xfId="3" applyFont="1" applyFill="1" applyBorder="1" applyAlignment="1">
      <alignment horizontal="center"/>
    </xf>
    <xf numFmtId="0" fontId="24" fillId="0" borderId="0" xfId="3" applyFont="1"/>
    <xf numFmtId="0" fontId="25" fillId="0" borderId="0" xfId="3" applyFont="1"/>
    <xf numFmtId="0" fontId="24" fillId="0" borderId="0" xfId="3" applyFont="1" applyBorder="1"/>
    <xf numFmtId="0" fontId="19" fillId="3" borderId="4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19" fillId="3" borderId="5" xfId="0" applyFont="1" applyFill="1" applyBorder="1"/>
    <xf numFmtId="0" fontId="19" fillId="3" borderId="6" xfId="0" applyFont="1" applyFill="1" applyBorder="1"/>
    <xf numFmtId="0" fontId="15" fillId="0" borderId="35" xfId="0" applyFont="1" applyBorder="1"/>
    <xf numFmtId="0" fontId="15" fillId="0" borderId="45" xfId="0" applyFont="1" applyBorder="1"/>
    <xf numFmtId="0" fontId="15" fillId="0" borderId="13" xfId="0" applyFont="1" applyBorder="1"/>
    <xf numFmtId="0" fontId="15" fillId="0" borderId="14" xfId="0" applyFont="1" applyBorder="1"/>
    <xf numFmtId="0" fontId="15" fillId="0" borderId="37" xfId="0" applyFont="1" applyBorder="1"/>
    <xf numFmtId="2" fontId="12" fillId="0" borderId="37" xfId="0" applyNumberFormat="1" applyFont="1" applyBorder="1"/>
    <xf numFmtId="10" fontId="15" fillId="0" borderId="37" xfId="2" applyNumberFormat="1" applyFont="1" applyBorder="1" applyProtection="1">
      <protection locked="0"/>
    </xf>
    <xf numFmtId="10" fontId="12" fillId="0" borderId="37" xfId="2" applyNumberFormat="1" applyFont="1" applyBorder="1"/>
    <xf numFmtId="166" fontId="15" fillId="0" borderId="12" xfId="2" applyNumberFormat="1" applyFont="1" applyBorder="1"/>
    <xf numFmtId="0" fontId="15" fillId="3" borderId="38" xfId="0" applyFont="1" applyFill="1" applyBorder="1" applyAlignment="1">
      <alignment horizontal="right"/>
    </xf>
    <xf numFmtId="0" fontId="15" fillId="3" borderId="11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ont="1" applyFill="1" applyBorder="1" applyProtection="1"/>
    <xf numFmtId="3" fontId="15" fillId="0" borderId="21" xfId="0" applyNumberFormat="1" applyFont="1" applyBorder="1"/>
    <xf numFmtId="3" fontId="15" fillId="0" borderId="32" xfId="0" applyNumberFormat="1" applyFont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9" xfId="0" applyBorder="1"/>
    <xf numFmtId="0" fontId="0" fillId="0" borderId="10" xfId="0" applyBorder="1"/>
    <xf numFmtId="0" fontId="0" fillId="0" borderId="23" xfId="0" applyFill="1" applyBorder="1"/>
    <xf numFmtId="0" fontId="0" fillId="0" borderId="13" xfId="0" applyFill="1" applyBorder="1"/>
    <xf numFmtId="0" fontId="0" fillId="0" borderId="14" xfId="0" applyFill="1" applyBorder="1"/>
    <xf numFmtId="0" fontId="19" fillId="3" borderId="15" xfId="0" applyFont="1" applyFill="1" applyBorder="1"/>
    <xf numFmtId="0" fontId="19" fillId="3" borderId="16" xfId="0" applyFont="1" applyFill="1" applyBorder="1"/>
    <xf numFmtId="0" fontId="0" fillId="3" borderId="17" xfId="0" applyFont="1" applyFill="1" applyBorder="1"/>
    <xf numFmtId="0" fontId="19" fillId="3" borderId="18" xfId="0" applyFont="1" applyFill="1" applyBorder="1" applyAlignment="1">
      <alignment horizontal="center"/>
    </xf>
    <xf numFmtId="0" fontId="19" fillId="3" borderId="24" xfId="0" applyFont="1" applyFill="1" applyBorder="1" applyAlignment="1">
      <alignment horizontal="center"/>
    </xf>
    <xf numFmtId="0" fontId="0" fillId="3" borderId="24" xfId="0" applyFont="1" applyFill="1" applyBorder="1"/>
    <xf numFmtId="0" fontId="19" fillId="3" borderId="20" xfId="0" applyFont="1" applyFill="1" applyBorder="1" applyAlignment="1">
      <alignment horizontal="center"/>
    </xf>
    <xf numFmtId="0" fontId="0" fillId="3" borderId="6" xfId="0" applyFont="1" applyFill="1" applyBorder="1"/>
    <xf numFmtId="0" fontId="19" fillId="3" borderId="6" xfId="0" applyFont="1" applyFill="1" applyBorder="1" applyAlignment="1">
      <alignment horizontal="center"/>
    </xf>
    <xf numFmtId="0" fontId="19" fillId="3" borderId="19" xfId="0" applyFont="1" applyFill="1" applyBorder="1" applyAlignment="1">
      <alignment horizontal="center"/>
    </xf>
    <xf numFmtId="0" fontId="19" fillId="3" borderId="25" xfId="0" applyFont="1" applyFill="1" applyBorder="1" applyAlignment="1">
      <alignment horizontal="center"/>
    </xf>
    <xf numFmtId="0" fontId="19" fillId="3" borderId="21" xfId="0" applyFont="1" applyFill="1" applyBorder="1" applyAlignment="1">
      <alignment horizontal="center"/>
    </xf>
    <xf numFmtId="0" fontId="19" fillId="3" borderId="28" xfId="0" applyFont="1" applyFill="1" applyBorder="1" applyAlignment="1">
      <alignment horizontal="center"/>
    </xf>
    <xf numFmtId="3" fontId="15" fillId="2" borderId="26" xfId="0" applyNumberFormat="1" applyFont="1" applyFill="1" applyBorder="1"/>
    <xf numFmtId="3" fontId="15" fillId="2" borderId="13" xfId="0" applyNumberFormat="1" applyFont="1" applyFill="1" applyBorder="1"/>
    <xf numFmtId="4" fontId="15" fillId="2" borderId="22" xfId="0" applyNumberFormat="1" applyFont="1" applyFill="1" applyBorder="1"/>
    <xf numFmtId="4" fontId="15" fillId="2" borderId="26" xfId="0" applyNumberFormat="1" applyFont="1" applyFill="1" applyBorder="1"/>
    <xf numFmtId="4" fontId="15" fillId="2" borderId="3" xfId="0" applyNumberFormat="1" applyFont="1" applyFill="1" applyBorder="1"/>
    <xf numFmtId="4" fontId="15" fillId="2" borderId="29" xfId="0" applyNumberFormat="1" applyFont="1" applyFill="1" applyBorder="1"/>
    <xf numFmtId="4" fontId="15" fillId="2" borderId="12" xfId="0" applyNumberFormat="1" applyFont="1" applyFill="1" applyBorder="1"/>
    <xf numFmtId="4" fontId="15" fillId="2" borderId="14" xfId="0" applyNumberFormat="1" applyFont="1" applyFill="1" applyBorder="1"/>
    <xf numFmtId="4" fontId="15" fillId="2" borderId="21" xfId="0" applyNumberFormat="1" applyFont="1" applyFill="1" applyBorder="1"/>
    <xf numFmtId="4" fontId="15" fillId="2" borderId="28" xfId="0" applyNumberFormat="1" applyFont="1" applyFill="1" applyBorder="1"/>
    <xf numFmtId="3" fontId="15" fillId="2" borderId="3" xfId="0" applyNumberFormat="1" applyFont="1" applyFill="1" applyBorder="1"/>
    <xf numFmtId="3" fontId="15" fillId="2" borderId="12" xfId="0" applyNumberFormat="1" applyFont="1" applyFill="1" applyBorder="1"/>
    <xf numFmtId="4" fontId="15" fillId="2" borderId="23" xfId="0" applyNumberFormat="1" applyFont="1" applyFill="1" applyBorder="1"/>
    <xf numFmtId="4" fontId="15" fillId="2" borderId="13" xfId="0" applyNumberFormat="1" applyFont="1" applyFill="1" applyBorder="1"/>
    <xf numFmtId="3" fontId="15" fillId="2" borderId="29" xfId="0" applyNumberFormat="1" applyFont="1" applyFill="1" applyBorder="1"/>
    <xf numFmtId="3" fontId="15" fillId="2" borderId="14" xfId="0" applyNumberFormat="1" applyFont="1" applyFill="1" applyBorder="1"/>
    <xf numFmtId="2" fontId="15" fillId="0" borderId="12" xfId="0" applyNumberFormat="1" applyFont="1" applyBorder="1" applyAlignment="1">
      <alignment horizontal="center"/>
    </xf>
    <xf numFmtId="2" fontId="15" fillId="0" borderId="13" xfId="0" applyNumberFormat="1" applyFont="1" applyBorder="1" applyAlignment="1">
      <alignment horizontal="center"/>
    </xf>
    <xf numFmtId="0" fontId="26" fillId="0" borderId="0" xfId="3" applyFont="1" applyBorder="1"/>
    <xf numFmtId="0" fontId="27" fillId="0" borderId="0" xfId="0" applyFont="1" applyBorder="1"/>
    <xf numFmtId="0" fontId="27" fillId="0" borderId="0" xfId="0" applyFont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19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4" fontId="15" fillId="0" borderId="0" xfId="0" applyNumberFormat="1" applyFont="1" applyFill="1" applyBorder="1" applyAlignment="1">
      <alignment horizontal="right" vertical="center"/>
    </xf>
    <xf numFmtId="0" fontId="0" fillId="5" borderId="16" xfId="0" applyFill="1" applyBorder="1"/>
    <xf numFmtId="0" fontId="0" fillId="5" borderId="48" xfId="0" applyFill="1" applyBorder="1"/>
    <xf numFmtId="2" fontId="0" fillId="5" borderId="36" xfId="0" applyNumberFormat="1" applyFill="1" applyBorder="1"/>
    <xf numFmtId="2" fontId="0" fillId="5" borderId="16" xfId="0" applyNumberFormat="1" applyFill="1" applyBorder="1"/>
    <xf numFmtId="4" fontId="15" fillId="5" borderId="31" xfId="0" applyNumberFormat="1" applyFont="1" applyFill="1" applyBorder="1" applyAlignment="1">
      <alignment horizontal="right" vertical="center"/>
    </xf>
    <xf numFmtId="165" fontId="15" fillId="0" borderId="2" xfId="3" applyNumberFormat="1" applyFont="1" applyBorder="1" applyProtection="1"/>
    <xf numFmtId="0" fontId="15" fillId="3" borderId="7" xfId="3" applyFont="1" applyFill="1" applyBorder="1" applyAlignment="1">
      <alignment horizontal="center"/>
    </xf>
    <xf numFmtId="0" fontId="15" fillId="0" borderId="9" xfId="3" applyFont="1" applyBorder="1" applyProtection="1">
      <protection locked="0"/>
    </xf>
    <xf numFmtId="0" fontId="15" fillId="0" borderId="10" xfId="3" applyFont="1" applyBorder="1"/>
    <xf numFmtId="0" fontId="15" fillId="0" borderId="13" xfId="3" applyFont="1" applyBorder="1" applyProtection="1">
      <protection locked="0"/>
    </xf>
    <xf numFmtId="165" fontId="15" fillId="0" borderId="63" xfId="3" applyNumberFormat="1" applyFont="1" applyBorder="1" applyProtection="1"/>
    <xf numFmtId="165" fontId="15" fillId="0" borderId="27" xfId="3" applyNumberFormat="1" applyFont="1" applyBorder="1" applyProtection="1"/>
    <xf numFmtId="0" fontId="15" fillId="0" borderId="8" xfId="3" applyFont="1" applyBorder="1" applyProtection="1">
      <protection locked="0"/>
    </xf>
    <xf numFmtId="0" fontId="15" fillId="0" borderId="7" xfId="3" applyFont="1" applyBorder="1" applyAlignment="1" applyProtection="1">
      <alignment horizontal="center"/>
    </xf>
    <xf numFmtId="0" fontId="15" fillId="0" borderId="38" xfId="3" applyFont="1" applyBorder="1" applyAlignment="1" applyProtection="1">
      <alignment horizontal="center"/>
      <protection locked="0"/>
    </xf>
    <xf numFmtId="0" fontId="15" fillId="0" borderId="11" xfId="3" applyFont="1" applyBorder="1" applyAlignment="1" applyProtection="1">
      <alignment horizontal="center"/>
      <protection locked="0"/>
    </xf>
    <xf numFmtId="0" fontId="15" fillId="0" borderId="17" xfId="3" applyFont="1" applyBorder="1" applyAlignment="1" applyProtection="1">
      <alignment horizontal="center"/>
    </xf>
    <xf numFmtId="0" fontId="15" fillId="0" borderId="16" xfId="3" applyFont="1" applyBorder="1" applyAlignment="1" applyProtection="1">
      <alignment horizontal="center"/>
    </xf>
    <xf numFmtId="0" fontId="15" fillId="0" borderId="71" xfId="3" applyFont="1" applyBorder="1"/>
    <xf numFmtId="0" fontId="15" fillId="3" borderId="54" xfId="3" applyFont="1" applyFill="1" applyBorder="1" applyAlignment="1">
      <alignment horizontal="center"/>
    </xf>
    <xf numFmtId="0" fontId="15" fillId="0" borderId="70" xfId="3" applyFont="1" applyBorder="1" applyAlignment="1" applyProtection="1">
      <alignment horizontal="center"/>
    </xf>
    <xf numFmtId="0" fontId="15" fillId="0" borderId="1" xfId="3" applyFont="1" applyBorder="1" applyProtection="1">
      <protection locked="0"/>
    </xf>
    <xf numFmtId="165" fontId="15" fillId="0" borderId="72" xfId="3" applyNumberFormat="1" applyFont="1" applyBorder="1" applyProtection="1"/>
    <xf numFmtId="168" fontId="15" fillId="0" borderId="13" xfId="3" applyNumberFormat="1" applyFont="1" applyBorder="1" applyProtection="1"/>
    <xf numFmtId="168" fontId="15" fillId="0" borderId="9" xfId="3" applyNumberFormat="1" applyFont="1" applyBorder="1" applyProtection="1"/>
    <xf numFmtId="168" fontId="15" fillId="0" borderId="35" xfId="3" applyNumberFormat="1" applyFont="1" applyBorder="1" applyProtection="1"/>
    <xf numFmtId="169" fontId="15" fillId="0" borderId="5" xfId="3" applyNumberFormat="1" applyFont="1" applyBorder="1" applyProtection="1"/>
    <xf numFmtId="169" fontId="15" fillId="0" borderId="35" xfId="3" applyNumberFormat="1" applyFont="1" applyBorder="1" applyProtection="1">
      <protection locked="0"/>
    </xf>
    <xf numFmtId="169" fontId="15" fillId="0" borderId="13" xfId="3" applyNumberFormat="1" applyFont="1" applyBorder="1" applyProtection="1">
      <protection locked="0"/>
    </xf>
    <xf numFmtId="169" fontId="15" fillId="0" borderId="9" xfId="3" applyNumberFormat="1" applyFont="1" applyBorder="1" applyProtection="1"/>
    <xf numFmtId="169" fontId="15" fillId="0" borderId="35" xfId="3" applyNumberFormat="1" applyFont="1" applyBorder="1" applyProtection="1"/>
    <xf numFmtId="169" fontId="15" fillId="0" borderId="13" xfId="3" applyNumberFormat="1" applyFont="1" applyBorder="1" applyProtection="1"/>
    <xf numFmtId="169" fontId="15" fillId="0" borderId="26" xfId="3" applyNumberFormat="1" applyFont="1" applyBorder="1" applyProtection="1"/>
    <xf numFmtId="169" fontId="15" fillId="0" borderId="66" xfId="3" applyNumberFormat="1" applyFont="1" applyBorder="1" applyProtection="1"/>
    <xf numFmtId="0" fontId="15" fillId="0" borderId="68" xfId="3" applyFont="1" applyBorder="1"/>
    <xf numFmtId="0" fontId="15" fillId="0" borderId="32" xfId="3" applyFont="1" applyBorder="1"/>
    <xf numFmtId="0" fontId="15" fillId="0" borderId="14" xfId="3" applyFont="1" applyBorder="1"/>
    <xf numFmtId="165" fontId="15" fillId="0" borderId="63" xfId="3" applyNumberFormat="1" applyFont="1" applyBorder="1" applyProtection="1">
      <protection locked="0"/>
    </xf>
    <xf numFmtId="165" fontId="15" fillId="0" borderId="37" xfId="3" applyNumberFormat="1" applyFont="1" applyBorder="1" applyProtection="1">
      <protection locked="0"/>
    </xf>
    <xf numFmtId="165" fontId="15" fillId="0" borderId="27" xfId="3" applyNumberFormat="1" applyFont="1" applyBorder="1" applyProtection="1">
      <protection locked="0"/>
    </xf>
    <xf numFmtId="0" fontId="15" fillId="0" borderId="0" xfId="3" applyFont="1" applyFill="1"/>
    <xf numFmtId="0" fontId="1" fillId="3" borderId="7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0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15" fillId="0" borderId="17" xfId="3" applyFont="1" applyBorder="1"/>
    <xf numFmtId="0" fontId="15" fillId="0" borderId="16" xfId="3" applyFont="1" applyBorder="1"/>
    <xf numFmtId="0" fontId="15" fillId="0" borderId="0" xfId="3" applyFont="1" applyFill="1" applyAlignment="1">
      <alignment horizontal="left" indent="1"/>
    </xf>
    <xf numFmtId="0" fontId="19" fillId="3" borderId="42" xfId="3" applyFont="1" applyFill="1" applyBorder="1" applyAlignment="1">
      <alignment horizontal="center"/>
    </xf>
    <xf numFmtId="0" fontId="19" fillId="3" borderId="5" xfId="3" applyFont="1" applyFill="1" applyBorder="1" applyAlignment="1">
      <alignment horizontal="center"/>
    </xf>
    <xf numFmtId="0" fontId="19" fillId="3" borderId="24" xfId="3" applyFont="1" applyFill="1" applyBorder="1" applyAlignment="1">
      <alignment horizontal="center"/>
    </xf>
    <xf numFmtId="0" fontId="19" fillId="3" borderId="7" xfId="3" applyFont="1" applyFill="1" applyBorder="1" applyAlignment="1">
      <alignment horizontal="center"/>
    </xf>
    <xf numFmtId="0" fontId="19" fillId="3" borderId="11" xfId="3" applyFont="1" applyFill="1" applyBorder="1" applyAlignment="1">
      <alignment horizontal="center"/>
    </xf>
    <xf numFmtId="3" fontId="15" fillId="3" borderId="43" xfId="3" applyNumberFormat="1" applyFont="1" applyFill="1" applyBorder="1" applyAlignment="1">
      <alignment horizontal="center"/>
    </xf>
    <xf numFmtId="3" fontId="15" fillId="3" borderId="9" xfId="3" applyNumberFormat="1" applyFont="1" applyFill="1" applyBorder="1" applyAlignment="1">
      <alignment horizontal="center"/>
    </xf>
    <xf numFmtId="3" fontId="15" fillId="3" borderId="10" xfId="3" applyNumberFormat="1" applyFont="1" applyFill="1" applyBorder="1" applyAlignment="1">
      <alignment horizontal="center"/>
    </xf>
    <xf numFmtId="3" fontId="15" fillId="3" borderId="23" xfId="3" applyNumberFormat="1" applyFont="1" applyFill="1" applyBorder="1" applyAlignment="1">
      <alignment horizontal="center"/>
    </xf>
    <xf numFmtId="3" fontId="15" fillId="3" borderId="13" xfId="3" applyNumberFormat="1" applyFont="1" applyFill="1" applyBorder="1" applyAlignment="1">
      <alignment horizontal="center"/>
    </xf>
    <xf numFmtId="3" fontId="15" fillId="3" borderId="14" xfId="3" applyNumberFormat="1" applyFont="1" applyFill="1" applyBorder="1" applyAlignment="1">
      <alignment horizontal="center"/>
    </xf>
    <xf numFmtId="0" fontId="15" fillId="3" borderId="51" xfId="3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0" fontId="29" fillId="0" borderId="0" xfId="0" applyFont="1" applyFill="1" applyBorder="1" applyAlignment="1">
      <alignment horizontal="left"/>
    </xf>
    <xf numFmtId="0" fontId="17" fillId="0" borderId="0" xfId="3" applyFont="1"/>
    <xf numFmtId="0" fontId="0" fillId="0" borderId="0" xfId="0" applyAlignment="1"/>
    <xf numFmtId="0" fontId="29" fillId="0" borderId="0" xfId="0" applyFont="1" applyAlignment="1"/>
    <xf numFmtId="0" fontId="0" fillId="0" borderId="0" xfId="0" applyFont="1" applyAlignment="1"/>
    <xf numFmtId="0" fontId="1" fillId="3" borderId="36" xfId="0" applyFont="1" applyFill="1" applyBorder="1" applyAlignment="1"/>
    <xf numFmtId="0" fontId="0" fillId="3" borderId="39" xfId="0" applyFont="1" applyFill="1" applyBorder="1" applyAlignment="1"/>
    <xf numFmtId="0" fontId="0" fillId="3" borderId="40" xfId="0" applyFont="1" applyFill="1" applyBorder="1" applyAlignment="1"/>
    <xf numFmtId="3" fontId="15" fillId="2" borderId="44" xfId="0" applyNumberFormat="1" applyFont="1" applyFill="1" applyBorder="1" applyAlignment="1" applyProtection="1"/>
    <xf numFmtId="0" fontId="0" fillId="3" borderId="38" xfId="0" applyFont="1" applyFill="1" applyBorder="1" applyAlignment="1"/>
    <xf numFmtId="0" fontId="0" fillId="3" borderId="11" xfId="0" applyFont="1" applyFill="1" applyBorder="1" applyAlignment="1"/>
    <xf numFmtId="3" fontId="15" fillId="2" borderId="23" xfId="0" applyNumberFormat="1" applyFont="1" applyFill="1" applyBorder="1" applyAlignment="1" applyProtection="1"/>
    <xf numFmtId="3" fontId="0" fillId="0" borderId="0" xfId="0" applyNumberFormat="1" applyFont="1" applyAlignment="1" applyProtection="1">
      <protection locked="0"/>
    </xf>
    <xf numFmtId="0" fontId="0" fillId="0" borderId="0" xfId="0" applyFont="1" applyAlignment="1">
      <alignment horizontal="left"/>
    </xf>
    <xf numFmtId="0" fontId="29" fillId="0" borderId="0" xfId="0" applyFont="1" applyFill="1" applyBorder="1" applyAlignment="1"/>
    <xf numFmtId="0" fontId="0" fillId="3" borderId="36" xfId="0" applyFont="1" applyFill="1" applyBorder="1" applyAlignment="1"/>
    <xf numFmtId="3" fontId="0" fillId="3" borderId="39" xfId="0" applyNumberFormat="1" applyFont="1" applyFill="1" applyBorder="1" applyAlignment="1" applyProtection="1">
      <protection locked="0"/>
    </xf>
    <xf numFmtId="0" fontId="0" fillId="3" borderId="40" xfId="0" applyFont="1" applyFill="1" applyBorder="1" applyAlignment="1">
      <alignment horizontal="left"/>
    </xf>
    <xf numFmtId="0" fontId="15" fillId="3" borderId="17" xfId="0" applyFont="1" applyFill="1" applyBorder="1" applyAlignment="1"/>
    <xf numFmtId="3" fontId="15" fillId="2" borderId="3" xfId="0" applyNumberFormat="1" applyFont="1" applyFill="1" applyBorder="1" applyAlignment="1" applyProtection="1"/>
    <xf numFmtId="0" fontId="15" fillId="3" borderId="38" xfId="0" applyFont="1" applyFill="1" applyBorder="1" applyAlignment="1"/>
    <xf numFmtId="3" fontId="15" fillId="2" borderId="37" xfId="0" applyNumberFormat="1" applyFont="1" applyFill="1" applyBorder="1" applyAlignment="1" applyProtection="1"/>
    <xf numFmtId="0" fontId="15" fillId="3" borderId="11" xfId="0" applyFont="1" applyFill="1" applyBorder="1" applyAlignment="1"/>
    <xf numFmtId="3" fontId="15" fillId="2" borderId="12" xfId="0" applyNumberFormat="1" applyFont="1" applyFill="1" applyBorder="1" applyAlignment="1" applyProtection="1"/>
    <xf numFmtId="0" fontId="0" fillId="0" borderId="0" xfId="0" applyFont="1" applyAlignment="1" applyProtection="1"/>
    <xf numFmtId="165" fontId="15" fillId="0" borderId="7" xfId="0" applyNumberFormat="1" applyFont="1" applyBorder="1" applyAlignment="1" applyProtection="1"/>
    <xf numFmtId="9" fontId="15" fillId="4" borderId="38" xfId="2" applyFont="1" applyFill="1" applyBorder="1" applyAlignment="1" applyProtection="1">
      <protection locked="0"/>
    </xf>
    <xf numFmtId="0" fontId="15" fillId="0" borderId="0" xfId="0" applyFont="1" applyAlignment="1"/>
    <xf numFmtId="9" fontId="15" fillId="4" borderId="11" xfId="2" applyFont="1" applyFill="1" applyBorder="1" applyAlignment="1" applyProtection="1">
      <protection locked="0"/>
    </xf>
    <xf numFmtId="0" fontId="15" fillId="3" borderId="7" xfId="3" applyFont="1" applyFill="1" applyBorder="1" applyAlignment="1">
      <alignment horizontal="center" vertical="center"/>
    </xf>
    <xf numFmtId="0" fontId="15" fillId="3" borderId="36" xfId="3" applyFont="1" applyFill="1" applyBorder="1" applyAlignment="1">
      <alignment horizontal="center" vertical="center"/>
    </xf>
    <xf numFmtId="0" fontId="20" fillId="0" borderId="0" xfId="3" applyFill="1"/>
    <xf numFmtId="3" fontId="0" fillId="0" borderId="0" xfId="0" applyNumberFormat="1" applyFill="1"/>
    <xf numFmtId="3" fontId="20" fillId="0" borderId="0" xfId="3" applyNumberFormat="1" applyFill="1"/>
    <xf numFmtId="0" fontId="15" fillId="3" borderId="16" xfId="3" applyFont="1" applyFill="1" applyBorder="1"/>
    <xf numFmtId="0" fontId="15" fillId="0" borderId="74" xfId="3" applyFont="1" applyBorder="1" applyAlignment="1" applyProtection="1">
      <alignment horizontal="center"/>
      <protection locked="0"/>
    </xf>
    <xf numFmtId="0" fontId="15" fillId="0" borderId="49" xfId="3" applyFont="1" applyBorder="1" applyAlignment="1">
      <alignment horizontal="left" indent="1"/>
    </xf>
    <xf numFmtId="0" fontId="15" fillId="3" borderId="28" xfId="3" applyFont="1" applyFill="1" applyBorder="1"/>
    <xf numFmtId="0" fontId="15" fillId="3" borderId="43" xfId="3" applyFont="1" applyFill="1" applyBorder="1"/>
    <xf numFmtId="0" fontId="15" fillId="0" borderId="9" xfId="3" applyFont="1" applyBorder="1" applyAlignment="1" applyProtection="1">
      <alignment horizontal="center"/>
      <protection locked="0"/>
    </xf>
    <xf numFmtId="0" fontId="15" fillId="0" borderId="9" xfId="3" applyFont="1" applyBorder="1" applyAlignment="1">
      <alignment horizontal="left" indent="1"/>
    </xf>
    <xf numFmtId="0" fontId="15" fillId="3" borderId="10" xfId="3" applyFont="1" applyFill="1" applyBorder="1"/>
    <xf numFmtId="0" fontId="15" fillId="3" borderId="23" xfId="3" applyFont="1" applyFill="1" applyBorder="1"/>
    <xf numFmtId="0" fontId="15" fillId="0" borderId="13" xfId="3" applyFont="1" applyBorder="1" applyAlignment="1" applyProtection="1">
      <alignment horizontal="center"/>
      <protection locked="0"/>
    </xf>
    <xf numFmtId="0" fontId="15" fillId="3" borderId="0" xfId="3" applyFont="1" applyFill="1" applyBorder="1" applyAlignment="1">
      <alignment horizontal="center"/>
    </xf>
    <xf numFmtId="0" fontId="15" fillId="0" borderId="43" xfId="3" applyFont="1" applyBorder="1" applyProtection="1"/>
    <xf numFmtId="0" fontId="15" fillId="0" borderId="10" xfId="3" applyFont="1" applyBorder="1" applyProtection="1">
      <protection locked="0"/>
    </xf>
    <xf numFmtId="0" fontId="15" fillId="0" borderId="23" xfId="3" applyFont="1" applyBorder="1" applyProtection="1">
      <protection locked="0"/>
    </xf>
    <xf numFmtId="0" fontId="15" fillId="0" borderId="53" xfId="3" applyFont="1" applyBorder="1" applyProtection="1">
      <protection locked="0"/>
    </xf>
    <xf numFmtId="4" fontId="15" fillId="2" borderId="38" xfId="3" applyNumberFormat="1" applyFont="1" applyFill="1" applyBorder="1" applyAlignment="1" applyProtection="1">
      <alignment horizontal="right"/>
    </xf>
    <xf numFmtId="4" fontId="15" fillId="2" borderId="11" xfId="3" applyNumberFormat="1" applyFont="1" applyFill="1" applyBorder="1" applyAlignment="1" applyProtection="1">
      <alignment horizontal="right"/>
    </xf>
    <xf numFmtId="0" fontId="15" fillId="3" borderId="73" xfId="3" applyFont="1" applyFill="1" applyBorder="1" applyAlignment="1">
      <alignment horizontal="center"/>
    </xf>
    <xf numFmtId="0" fontId="15" fillId="3" borderId="50" xfId="3" applyFont="1" applyFill="1" applyBorder="1" applyAlignment="1">
      <alignment horizontal="center"/>
    </xf>
    <xf numFmtId="0" fontId="15" fillId="0" borderId="0" xfId="3" applyFont="1" applyFill="1" applyBorder="1" applyAlignment="1">
      <alignment horizontal="left"/>
    </xf>
    <xf numFmtId="0" fontId="15" fillId="0" borderId="0" xfId="3" applyFont="1" applyFill="1" applyBorder="1" applyAlignment="1" applyProtection="1">
      <alignment horizontal="right"/>
    </xf>
    <xf numFmtId="4" fontId="15" fillId="2" borderId="38" xfId="3" applyNumberFormat="1" applyFont="1" applyFill="1" applyBorder="1" applyProtection="1">
      <protection locked="0"/>
    </xf>
    <xf numFmtId="3" fontId="15" fillId="4" borderId="38" xfId="3" applyNumberFormat="1" applyFont="1" applyFill="1" applyBorder="1" applyAlignment="1" applyProtection="1">
      <protection locked="0"/>
    </xf>
    <xf numFmtId="4" fontId="15" fillId="2" borderId="38" xfId="3" applyNumberFormat="1" applyFont="1" applyFill="1" applyBorder="1" applyAlignment="1" applyProtection="1"/>
    <xf numFmtId="4" fontId="15" fillId="2" borderId="11" xfId="3" applyNumberFormat="1" applyFont="1" applyFill="1" applyBorder="1" applyAlignment="1" applyProtection="1"/>
    <xf numFmtId="0" fontId="15" fillId="0" borderId="0" xfId="3" applyFont="1" applyFill="1" applyBorder="1" applyAlignment="1">
      <alignment horizontal="center"/>
    </xf>
    <xf numFmtId="0" fontId="0" fillId="3" borderId="30" xfId="0" applyFill="1" applyBorder="1" applyAlignment="1">
      <alignment vertical="top"/>
    </xf>
    <xf numFmtId="0" fontId="0" fillId="3" borderId="34" xfId="0" applyFill="1" applyBorder="1" applyAlignment="1">
      <alignment vertical="top"/>
    </xf>
    <xf numFmtId="0" fontId="0" fillId="3" borderId="31" xfId="0" applyFill="1" applyBorder="1" applyAlignment="1">
      <alignment horizontal="left"/>
    </xf>
    <xf numFmtId="0" fontId="0" fillId="3" borderId="34" xfId="0" applyFill="1" applyBorder="1" applyAlignment="1">
      <alignment horizontal="left"/>
    </xf>
    <xf numFmtId="0" fontId="0" fillId="3" borderId="43" xfId="0" applyFill="1" applyBorder="1" applyAlignment="1"/>
    <xf numFmtId="0" fontId="0" fillId="3" borderId="9" xfId="0" applyFill="1" applyBorder="1"/>
    <xf numFmtId="0" fontId="0" fillId="3" borderId="63" xfId="0" applyFill="1" applyBorder="1"/>
    <xf numFmtId="0" fontId="0" fillId="3" borderId="44" xfId="0" applyFill="1" applyBorder="1" applyAlignment="1"/>
    <xf numFmtId="0" fontId="0" fillId="3" borderId="35" xfId="0" applyFill="1" applyBorder="1"/>
    <xf numFmtId="0" fontId="0" fillId="3" borderId="59" xfId="0" applyFill="1" applyBorder="1"/>
    <xf numFmtId="0" fontId="0" fillId="0" borderId="51" xfId="0" applyBorder="1" applyAlignment="1">
      <alignment horizontal="center"/>
    </xf>
    <xf numFmtId="0" fontId="0" fillId="4" borderId="11" xfId="0" applyFill="1" applyBorder="1" applyAlignment="1">
      <alignment vertical="center"/>
    </xf>
    <xf numFmtId="0" fontId="0" fillId="0" borderId="44" xfId="0" applyFill="1" applyBorder="1"/>
    <xf numFmtId="2" fontId="15" fillId="0" borderId="0" xfId="0" applyNumberFormat="1" applyFont="1" applyFill="1" applyBorder="1"/>
    <xf numFmtId="0" fontId="0" fillId="0" borderId="0" xfId="0" applyFont="1" applyBorder="1" applyProtection="1"/>
    <xf numFmtId="2" fontId="0" fillId="5" borderId="39" xfId="0" applyNumberFormat="1" applyFill="1" applyBorder="1"/>
    <xf numFmtId="2" fontId="0" fillId="5" borderId="40" xfId="0" applyNumberFormat="1" applyFill="1" applyBorder="1"/>
    <xf numFmtId="1" fontId="0" fillId="5" borderId="34" xfId="0" applyNumberFormat="1" applyFill="1" applyBorder="1"/>
    <xf numFmtId="0" fontId="0" fillId="0" borderId="0" xfId="0" applyFont="1" applyFill="1" applyBorder="1" applyAlignment="1" applyProtection="1"/>
    <xf numFmtId="0" fontId="0" fillId="6" borderId="36" xfId="0" applyFill="1" applyBorder="1"/>
    <xf numFmtId="0" fontId="0" fillId="6" borderId="46" xfId="0" applyFill="1" applyBorder="1"/>
    <xf numFmtId="0" fontId="0" fillId="6" borderId="3" xfId="0" applyFill="1" applyBorder="1"/>
    <xf numFmtId="0" fontId="0" fillId="6" borderId="40" xfId="0" applyFill="1" applyBorder="1"/>
    <xf numFmtId="0" fontId="0" fillId="6" borderId="68" xfId="0" applyFill="1" applyBorder="1"/>
    <xf numFmtId="0" fontId="0" fillId="6" borderId="74" xfId="0" applyFill="1" applyBorder="1"/>
    <xf numFmtId="3" fontId="15" fillId="6" borderId="43" xfId="0" applyNumberFormat="1" applyFont="1" applyFill="1" applyBorder="1" applyProtection="1"/>
    <xf numFmtId="3" fontId="15" fillId="6" borderId="44" xfId="0" applyNumberFormat="1" applyFont="1" applyFill="1" applyBorder="1" applyProtection="1"/>
    <xf numFmtId="3" fontId="15" fillId="6" borderId="37" xfId="0" applyNumberFormat="1" applyFont="1" applyFill="1" applyBorder="1" applyProtection="1"/>
    <xf numFmtId="9" fontId="15" fillId="6" borderId="38" xfId="2" applyFont="1" applyFill="1" applyBorder="1" applyProtection="1">
      <protection locked="0"/>
    </xf>
    <xf numFmtId="9" fontId="15" fillId="6" borderId="11" xfId="2" applyFont="1" applyFill="1" applyBorder="1" applyProtection="1">
      <protection locked="0"/>
    </xf>
    <xf numFmtId="3" fontId="0" fillId="2" borderId="43" xfId="0" applyNumberFormat="1" applyFill="1" applyBorder="1"/>
    <xf numFmtId="3" fontId="15" fillId="6" borderId="38" xfId="3" applyNumberFormat="1" applyFont="1" applyFill="1" applyBorder="1" applyProtection="1">
      <protection locked="0"/>
    </xf>
    <xf numFmtId="9" fontId="15" fillId="6" borderId="14" xfId="5" applyFont="1" applyFill="1" applyBorder="1" applyProtection="1">
      <protection locked="0"/>
    </xf>
    <xf numFmtId="0" fontId="15" fillId="6" borderId="3" xfId="3" applyFont="1" applyFill="1" applyBorder="1" applyAlignment="1" applyProtection="1">
      <alignment horizontal="center"/>
      <protection locked="0"/>
    </xf>
    <xf numFmtId="0" fontId="15" fillId="6" borderId="37" xfId="3" applyFont="1" applyFill="1" applyBorder="1" applyAlignment="1" applyProtection="1">
      <alignment horizontal="center"/>
      <protection locked="0"/>
    </xf>
    <xf numFmtId="0" fontId="0" fillId="6" borderId="7" xfId="0" applyFill="1" applyBorder="1"/>
    <xf numFmtId="0" fontId="0" fillId="6" borderId="38" xfId="0" applyFill="1" applyBorder="1"/>
    <xf numFmtId="0" fontId="0" fillId="6" borderId="11" xfId="0" applyFill="1" applyBorder="1"/>
    <xf numFmtId="3" fontId="0" fillId="2" borderId="3" xfId="0" applyNumberFormat="1" applyFill="1" applyBorder="1"/>
    <xf numFmtId="0" fontId="29" fillId="0" borderId="0" xfId="0" applyFont="1"/>
    <xf numFmtId="0" fontId="0" fillId="0" borderId="43" xfId="0" applyFont="1" applyBorder="1" applyAlignment="1">
      <alignment wrapText="1"/>
    </xf>
    <xf numFmtId="0" fontId="0" fillId="0" borderId="23" xfId="0" applyFont="1" applyBorder="1"/>
    <xf numFmtId="1" fontId="0" fillId="5" borderId="39" xfId="0" applyNumberFormat="1" applyFill="1" applyBorder="1"/>
    <xf numFmtId="2" fontId="15" fillId="0" borderId="41" xfId="3" applyNumberFormat="1" applyFont="1" applyFill="1" applyBorder="1" applyAlignment="1">
      <alignment horizontal="center"/>
    </xf>
    <xf numFmtId="0" fontId="15" fillId="0" borderId="57" xfId="3" applyFont="1" applyBorder="1" applyAlignment="1">
      <alignment horizontal="left" indent="1"/>
    </xf>
    <xf numFmtId="2" fontId="15" fillId="7" borderId="17" xfId="3" applyNumberFormat="1" applyFont="1" applyFill="1" applyBorder="1" applyAlignment="1">
      <alignment horizontal="center"/>
    </xf>
    <xf numFmtId="2" fontId="15" fillId="7" borderId="11" xfId="3" applyNumberFormat="1" applyFont="1" applyFill="1" applyBorder="1" applyAlignment="1">
      <alignment horizontal="center"/>
    </xf>
    <xf numFmtId="2" fontId="15" fillId="5" borderId="14" xfId="3" applyNumberFormat="1" applyFont="1" applyFill="1" applyBorder="1" applyAlignment="1">
      <alignment horizontal="center"/>
    </xf>
    <xf numFmtId="0" fontId="15" fillId="8" borderId="37" xfId="3" applyFont="1" applyFill="1" applyBorder="1" applyProtection="1">
      <protection locked="0"/>
    </xf>
    <xf numFmtId="0" fontId="15" fillId="8" borderId="35" xfId="3" applyFont="1" applyFill="1" applyBorder="1" applyProtection="1">
      <protection locked="0"/>
    </xf>
    <xf numFmtId="0" fontId="15" fillId="8" borderId="12" xfId="3" applyFont="1" applyFill="1" applyBorder="1" applyProtection="1">
      <protection locked="0"/>
    </xf>
    <xf numFmtId="168" fontId="15" fillId="8" borderId="37" xfId="3" applyNumberFormat="1" applyFont="1" applyFill="1" applyBorder="1" applyProtection="1"/>
    <xf numFmtId="168" fontId="15" fillId="8" borderId="35" xfId="3" applyNumberFormat="1" applyFont="1" applyFill="1" applyBorder="1" applyProtection="1"/>
    <xf numFmtId="0" fontId="15" fillId="0" borderId="44" xfId="3" applyFont="1" applyFill="1" applyBorder="1" applyProtection="1">
      <protection locked="0"/>
    </xf>
    <xf numFmtId="0" fontId="15" fillId="0" borderId="37" xfId="3" applyFont="1" applyFill="1" applyBorder="1" applyProtection="1">
      <protection locked="0"/>
    </xf>
    <xf numFmtId="0" fontId="15" fillId="0" borderId="52" xfId="3" applyFont="1" applyFill="1" applyBorder="1" applyProtection="1">
      <protection locked="0"/>
    </xf>
    <xf numFmtId="0" fontId="15" fillId="0" borderId="35" xfId="3" applyFont="1" applyFill="1" applyBorder="1" applyProtection="1">
      <protection locked="0"/>
    </xf>
    <xf numFmtId="0" fontId="15" fillId="0" borderId="45" xfId="3" applyFont="1" applyFill="1" applyBorder="1" applyProtection="1">
      <protection locked="0"/>
    </xf>
    <xf numFmtId="165" fontId="15" fillId="0" borderId="44" xfId="3" applyNumberFormat="1" applyFont="1" applyFill="1" applyBorder="1" applyProtection="1"/>
    <xf numFmtId="165" fontId="15" fillId="0" borderId="35" xfId="3" applyNumberFormat="1" applyFont="1" applyFill="1" applyBorder="1" applyProtection="1"/>
    <xf numFmtId="165" fontId="15" fillId="0" borderId="45" xfId="3" applyNumberFormat="1" applyFont="1" applyFill="1" applyBorder="1" applyProtection="1"/>
    <xf numFmtId="0" fontId="15" fillId="3" borderId="44" xfId="3" applyFont="1" applyFill="1" applyBorder="1"/>
    <xf numFmtId="0" fontId="15" fillId="0" borderId="9" xfId="3" applyFont="1" applyBorder="1" applyAlignment="1">
      <alignment horizontal="center"/>
    </xf>
    <xf numFmtId="0" fontId="15" fillId="0" borderId="35" xfId="3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1" xfId="0" applyFill="1" applyBorder="1"/>
    <xf numFmtId="0" fontId="15" fillId="2" borderId="26" xfId="3" applyFont="1" applyFill="1" applyBorder="1" applyProtection="1"/>
    <xf numFmtId="165" fontId="15" fillId="2" borderId="26" xfId="3" applyNumberFormat="1" applyFont="1" applyFill="1" applyBorder="1" applyProtection="1"/>
    <xf numFmtId="0" fontId="15" fillId="2" borderId="13" xfId="3" applyFont="1" applyFill="1" applyBorder="1" applyProtection="1"/>
    <xf numFmtId="0" fontId="15" fillId="2" borderId="37" xfId="3" applyFont="1" applyFill="1" applyBorder="1" applyAlignment="1" applyProtection="1">
      <alignment horizontal="center"/>
      <protection locked="0"/>
    </xf>
    <xf numFmtId="0" fontId="15" fillId="2" borderId="12" xfId="3" applyFont="1" applyFill="1" applyBorder="1" applyAlignment="1" applyProtection="1">
      <alignment horizontal="center"/>
      <protection locked="0"/>
    </xf>
    <xf numFmtId="2" fontId="15" fillId="2" borderId="2" xfId="3" applyNumberFormat="1" applyFont="1" applyFill="1" applyBorder="1" applyAlignment="1">
      <alignment horizontal="center"/>
    </xf>
    <xf numFmtId="2" fontId="15" fillId="2" borderId="27" xfId="3" applyNumberFormat="1" applyFont="1" applyFill="1" applyBorder="1" applyAlignment="1">
      <alignment horizontal="center"/>
    </xf>
    <xf numFmtId="0" fontId="15" fillId="8" borderId="0" xfId="3" applyFont="1" applyFill="1" applyBorder="1"/>
    <xf numFmtId="0" fontId="0" fillId="3" borderId="4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3" fontId="15" fillId="0" borderId="18" xfId="0" applyNumberFormat="1" applyFont="1" applyFill="1" applyBorder="1"/>
    <xf numFmtId="2" fontId="15" fillId="0" borderId="19" xfId="0" applyNumberFormat="1" applyFont="1" applyFill="1" applyBorder="1"/>
    <xf numFmtId="0" fontId="0" fillId="0" borderId="7" xfId="0" applyBorder="1"/>
    <xf numFmtId="0" fontId="0" fillId="0" borderId="11" xfId="0" applyBorder="1"/>
    <xf numFmtId="2" fontId="15" fillId="0" borderId="0" xfId="0" applyNumberFormat="1" applyFont="1" applyBorder="1" applyAlignment="1">
      <alignment horizontal="center"/>
    </xf>
    <xf numFmtId="0" fontId="30" fillId="0" borderId="0" xfId="0" applyFont="1"/>
    <xf numFmtId="0" fontId="0" fillId="4" borderId="3" xfId="0" applyFill="1" applyBorder="1" applyProtection="1">
      <protection locked="0"/>
    </xf>
    <xf numFmtId="0" fontId="0" fillId="4" borderId="37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0" fillId="4" borderId="45" xfId="0" applyFill="1" applyBorder="1" applyProtection="1">
      <protection locked="0"/>
    </xf>
    <xf numFmtId="0" fontId="0" fillId="4" borderId="7" xfId="0" applyFill="1" applyBorder="1" applyAlignment="1" applyProtection="1">
      <protection locked="0"/>
    </xf>
    <xf numFmtId="0" fontId="0" fillId="4" borderId="38" xfId="0" applyFill="1" applyBorder="1" applyAlignment="1" applyProtection="1">
      <protection locked="0"/>
    </xf>
    <xf numFmtId="0" fontId="0" fillId="4" borderId="38" xfId="0" applyFill="1" applyBorder="1" applyAlignment="1" applyProtection="1">
      <alignment vertical="center"/>
      <protection locked="0"/>
    </xf>
    <xf numFmtId="3" fontId="15" fillId="4" borderId="43" xfId="0" applyNumberFormat="1" applyFont="1" applyFill="1" applyBorder="1" applyAlignment="1" applyProtection="1">
      <protection locked="0"/>
    </xf>
    <xf numFmtId="3" fontId="15" fillId="4" borderId="44" xfId="0" applyNumberFormat="1" applyFont="1" applyFill="1" applyBorder="1" applyAlignment="1" applyProtection="1">
      <protection locked="0"/>
    </xf>
    <xf numFmtId="3" fontId="15" fillId="4" borderId="37" xfId="0" applyNumberFormat="1" applyFont="1" applyFill="1" applyBorder="1" applyAlignment="1" applyProtection="1">
      <protection locked="0"/>
    </xf>
    <xf numFmtId="0" fontId="0" fillId="4" borderId="7" xfId="0" applyFill="1" applyBorder="1" applyProtection="1">
      <protection locked="0"/>
    </xf>
    <xf numFmtId="0" fontId="0" fillId="4" borderId="38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68" xfId="0" applyFill="1" applyBorder="1" applyProtection="1">
      <protection locked="0"/>
    </xf>
    <xf numFmtId="0" fontId="0" fillId="4" borderId="35" xfId="0" applyFill="1" applyBorder="1" applyProtection="1">
      <protection locked="0"/>
    </xf>
    <xf numFmtId="167" fontId="15" fillId="2" borderId="23" xfId="0" applyNumberFormat="1" applyFont="1" applyFill="1" applyBorder="1"/>
    <xf numFmtId="167" fontId="15" fillId="2" borderId="13" xfId="0" applyNumberFormat="1" applyFont="1" applyFill="1" applyBorder="1"/>
    <xf numFmtId="3" fontId="15" fillId="2" borderId="22" xfId="0" applyNumberFormat="1" applyFont="1" applyFill="1" applyBorder="1"/>
    <xf numFmtId="3" fontId="15" fillId="2" borderId="23" xfId="0" applyNumberFormat="1" applyFont="1" applyFill="1" applyBorder="1"/>
    <xf numFmtId="3" fontId="0" fillId="4" borderId="46" xfId="0" applyNumberFormat="1" applyFill="1" applyBorder="1" applyProtection="1">
      <protection locked="0"/>
    </xf>
    <xf numFmtId="0" fontId="15" fillId="3" borderId="62" xfId="3" applyFont="1" applyFill="1" applyBorder="1" applyAlignment="1">
      <alignment horizontal="left"/>
    </xf>
    <xf numFmtId="0" fontId="15" fillId="4" borderId="9" xfId="3" applyFont="1" applyFill="1" applyBorder="1" applyAlignment="1" applyProtection="1">
      <alignment horizontal="right"/>
      <protection locked="0"/>
    </xf>
    <xf numFmtId="0" fontId="15" fillId="4" borderId="35" xfId="3" applyFont="1" applyFill="1" applyBorder="1" applyAlignment="1" applyProtection="1">
      <alignment horizontal="right"/>
      <protection locked="0"/>
    </xf>
    <xf numFmtId="0" fontId="0" fillId="4" borderId="35" xfId="0" applyFill="1" applyBorder="1" applyAlignment="1" applyProtection="1">
      <alignment horizontal="right"/>
      <protection locked="0"/>
    </xf>
    <xf numFmtId="0" fontId="0" fillId="3" borderId="55" xfId="0" applyFill="1" applyBorder="1"/>
    <xf numFmtId="2" fontId="0" fillId="5" borderId="43" xfId="0" applyNumberFormat="1" applyFill="1" applyBorder="1"/>
    <xf numFmtId="2" fontId="0" fillId="5" borderId="23" xfId="0" applyNumberFormat="1" applyFill="1" applyBorder="1" applyProtection="1">
      <protection locked="0"/>
    </xf>
    <xf numFmtId="0" fontId="22" fillId="0" borderId="0" xfId="0" applyFont="1"/>
    <xf numFmtId="0" fontId="0" fillId="0" borderId="45" xfId="0" applyFill="1" applyBorder="1" applyAlignment="1" applyProtection="1">
      <alignment horizontal="right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14" fontId="0" fillId="4" borderId="13" xfId="0" applyNumberFormat="1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59" xfId="0" applyFill="1" applyBorder="1" applyAlignment="1">
      <alignment horizontal="left" wrapText="1"/>
    </xf>
    <xf numFmtId="0" fontId="0" fillId="3" borderId="23" xfId="0" applyFill="1" applyBorder="1" applyAlignment="1">
      <alignment horizontal="left" wrapText="1"/>
    </xf>
    <xf numFmtId="0" fontId="0" fillId="3" borderId="13" xfId="0" applyFill="1" applyBorder="1" applyAlignment="1">
      <alignment horizontal="left" wrapText="1"/>
    </xf>
    <xf numFmtId="0" fontId="0" fillId="3" borderId="27" xfId="0" applyFill="1" applyBorder="1" applyAlignment="1">
      <alignment horizontal="left" wrapText="1"/>
    </xf>
    <xf numFmtId="0" fontId="15" fillId="3" borderId="58" xfId="3" applyFont="1" applyFill="1" applyBorder="1" applyAlignment="1">
      <alignment horizontal="center"/>
    </xf>
    <xf numFmtId="0" fontId="15" fillId="3" borderId="34" xfId="3" applyFont="1" applyFill="1" applyBorder="1" applyAlignment="1">
      <alignment horizontal="center"/>
    </xf>
    <xf numFmtId="0" fontId="15" fillId="0" borderId="59" xfId="3" applyFont="1" applyBorder="1" applyAlignment="1">
      <alignment horizontal="center"/>
    </xf>
    <xf numFmtId="0" fontId="15" fillId="0" borderId="52" xfId="3" applyFont="1" applyBorder="1" applyAlignment="1">
      <alignment horizontal="center"/>
    </xf>
    <xf numFmtId="0" fontId="0" fillId="3" borderId="55" xfId="0" applyFill="1" applyBorder="1" applyAlignment="1">
      <alignment horizontal="left"/>
    </xf>
    <xf numFmtId="0" fontId="0" fillId="3" borderId="75" xfId="0" applyFill="1" applyBorder="1" applyAlignment="1">
      <alignment horizontal="left"/>
    </xf>
    <xf numFmtId="0" fontId="0" fillId="3" borderId="51" xfId="0" applyFill="1" applyBorder="1" applyAlignment="1">
      <alignment horizontal="left"/>
    </xf>
    <xf numFmtId="0" fontId="0" fillId="3" borderId="56" xfId="0" applyFill="1" applyBorder="1" applyAlignment="1">
      <alignment horizontal="left"/>
    </xf>
    <xf numFmtId="0" fontId="0" fillId="3" borderId="60" xfId="0" applyFill="1" applyBorder="1" applyAlignment="1">
      <alignment horizontal="left"/>
    </xf>
    <xf numFmtId="0" fontId="0" fillId="3" borderId="52" xfId="0" applyFill="1" applyBorder="1" applyAlignment="1">
      <alignment horizontal="left"/>
    </xf>
    <xf numFmtId="0" fontId="0" fillId="3" borderId="57" xfId="0" applyFill="1" applyBorder="1" applyAlignment="1">
      <alignment horizontal="left"/>
    </xf>
    <xf numFmtId="0" fontId="0" fillId="3" borderId="61" xfId="0" applyFill="1" applyBorder="1" applyAlignment="1">
      <alignment horizontal="left"/>
    </xf>
    <xf numFmtId="0" fontId="0" fillId="3" borderId="53" xfId="0" applyFill="1" applyBorder="1" applyAlignment="1">
      <alignment horizontal="left"/>
    </xf>
    <xf numFmtId="0" fontId="15" fillId="0" borderId="63" xfId="3" applyFont="1" applyFill="1" applyBorder="1" applyAlignment="1">
      <alignment horizontal="center"/>
    </xf>
    <xf numFmtId="0" fontId="15" fillId="0" borderId="51" xfId="3" applyFont="1" applyFill="1" applyBorder="1" applyAlignment="1">
      <alignment horizontal="center"/>
    </xf>
    <xf numFmtId="0" fontId="0" fillId="3" borderId="15" xfId="0" applyFont="1" applyFill="1" applyBorder="1" applyAlignment="1">
      <alignment horizontal="left" vertical="center"/>
    </xf>
    <xf numFmtId="0" fontId="0" fillId="3" borderId="17" xfId="0" applyFont="1" applyFill="1" applyBorder="1" applyAlignment="1">
      <alignment horizontal="left" vertical="center"/>
    </xf>
    <xf numFmtId="0" fontId="0" fillId="3" borderId="54" xfId="0" applyFont="1" applyFill="1" applyBorder="1" applyAlignment="1">
      <alignment horizontal="left" vertical="center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32" xfId="0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14" fontId="0" fillId="6" borderId="12" xfId="0" applyNumberFormat="1" applyFill="1" applyBorder="1" applyAlignment="1">
      <alignment horizontal="left"/>
    </xf>
    <xf numFmtId="14" fontId="0" fillId="6" borderId="13" xfId="0" applyNumberFormat="1" applyFill="1" applyBorder="1" applyAlignment="1">
      <alignment horizontal="left"/>
    </xf>
    <xf numFmtId="14" fontId="0" fillId="6" borderId="14" xfId="0" applyNumberFormat="1" applyFill="1" applyBorder="1" applyAlignment="1">
      <alignment horizontal="left"/>
    </xf>
    <xf numFmtId="0" fontId="22" fillId="3" borderId="46" xfId="0" applyFont="1" applyFill="1" applyBorder="1" applyAlignment="1">
      <alignment horizontal="center"/>
    </xf>
    <xf numFmtId="0" fontId="22" fillId="3" borderId="40" xfId="0" applyFont="1" applyFill="1" applyBorder="1" applyAlignment="1">
      <alignment horizontal="center"/>
    </xf>
    <xf numFmtId="0" fontId="0" fillId="3" borderId="44" xfId="0" applyFill="1" applyBorder="1" applyAlignment="1">
      <alignment horizontal="left"/>
    </xf>
    <xf numFmtId="0" fontId="0" fillId="3" borderId="45" xfId="0" applyFill="1" applyBorder="1" applyAlignment="1">
      <alignment horizontal="left"/>
    </xf>
    <xf numFmtId="0" fontId="0" fillId="3" borderId="22" xfId="0" applyFill="1" applyBorder="1" applyAlignment="1">
      <alignment horizontal="left"/>
    </xf>
    <xf numFmtId="0" fontId="0" fillId="3" borderId="29" xfId="0" applyFill="1" applyBorder="1" applyAlignment="1">
      <alignment horizontal="left"/>
    </xf>
    <xf numFmtId="0" fontId="1" fillId="0" borderId="0" xfId="0" applyFont="1" applyAlignment="1">
      <alignment horizontal="left"/>
    </xf>
    <xf numFmtId="0" fontId="0" fillId="3" borderId="46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3" borderId="44" xfId="0" applyFill="1" applyBorder="1" applyAlignment="1">
      <alignment horizontal="left" vertical="center"/>
    </xf>
    <xf numFmtId="0" fontId="0" fillId="3" borderId="65" xfId="0" applyFill="1" applyBorder="1" applyAlignment="1">
      <alignment horizontal="left" vertical="center"/>
    </xf>
    <xf numFmtId="0" fontId="0" fillId="3" borderId="30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1" fillId="0" borderId="19" xfId="0" applyFont="1" applyBorder="1" applyAlignment="1">
      <alignment horizontal="left"/>
    </xf>
    <xf numFmtId="0" fontId="0" fillId="3" borderId="48" xfId="0" applyFill="1" applyBorder="1" applyAlignment="1">
      <alignment horizontal="left" vertical="center"/>
    </xf>
    <xf numFmtId="0" fontId="0" fillId="3" borderId="67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0" borderId="30" xfId="0" applyBorder="1" applyAlignment="1"/>
    <xf numFmtId="0" fontId="0" fillId="0" borderId="31" xfId="0" applyBorder="1" applyAlignment="1"/>
    <xf numFmtId="0" fontId="0" fillId="0" borderId="39" xfId="0" applyBorder="1" applyAlignment="1"/>
    <xf numFmtId="0" fontId="0" fillId="3" borderId="46" xfId="0" applyFill="1" applyBorder="1" applyAlignment="1">
      <alignment horizontal="left"/>
    </xf>
    <xf numFmtId="0" fontId="0" fillId="3" borderId="47" xfId="0" applyFill="1" applyBorder="1" applyAlignment="1">
      <alignment horizontal="left"/>
    </xf>
    <xf numFmtId="0" fontId="0" fillId="3" borderId="40" xfId="0" applyFill="1" applyBorder="1" applyAlignment="1">
      <alignment horizontal="left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0" fillId="3" borderId="14" xfId="0" applyFill="1" applyBorder="1" applyAlignment="1">
      <alignment horizontal="center" wrapText="1"/>
    </xf>
    <xf numFmtId="0" fontId="0" fillId="0" borderId="0" xfId="0" applyFill="1" applyBorder="1" applyAlignment="1">
      <alignment horizontal="left"/>
    </xf>
    <xf numFmtId="0" fontId="19" fillId="0" borderId="30" xfId="0" applyFont="1" applyBorder="1" applyAlignment="1">
      <alignment horizontal="right" vertical="center"/>
    </xf>
    <xf numFmtId="0" fontId="19" fillId="0" borderId="31" xfId="0" applyFont="1" applyBorder="1" applyAlignment="1">
      <alignment horizontal="right" vertical="center"/>
    </xf>
    <xf numFmtId="0" fontId="19" fillId="0" borderId="34" xfId="0" applyFont="1" applyBorder="1" applyAlignment="1">
      <alignment horizontal="right" vertical="center"/>
    </xf>
    <xf numFmtId="0" fontId="27" fillId="0" borderId="0" xfId="0" applyFont="1" applyFill="1" applyAlignment="1">
      <alignment horizontal="left"/>
    </xf>
    <xf numFmtId="0" fontId="0" fillId="3" borderId="56" xfId="0" applyFill="1" applyBorder="1" applyAlignment="1">
      <alignment horizontal="left" vertical="center"/>
    </xf>
    <xf numFmtId="0" fontId="0" fillId="3" borderId="57" xfId="0" applyFill="1" applyBorder="1" applyAlignment="1">
      <alignment horizontal="left" vertical="center"/>
    </xf>
    <xf numFmtId="0" fontId="0" fillId="3" borderId="38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43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63" xfId="0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0" fillId="3" borderId="59" xfId="0" applyFill="1" applyBorder="1" applyAlignment="1">
      <alignment horizontal="left"/>
    </xf>
    <xf numFmtId="0" fontId="0" fillId="3" borderId="23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27" xfId="0" applyFill="1" applyBorder="1" applyAlignment="1">
      <alignment horizontal="left"/>
    </xf>
    <xf numFmtId="0" fontId="19" fillId="3" borderId="15" xfId="3" applyFont="1" applyFill="1" applyBorder="1" applyAlignment="1">
      <alignment horizontal="center" vertical="center"/>
    </xf>
    <xf numFmtId="0" fontId="19" fillId="3" borderId="70" xfId="3" applyFont="1" applyFill="1" applyBorder="1" applyAlignment="1">
      <alignment horizontal="center" vertical="center"/>
    </xf>
    <xf numFmtId="0" fontId="19" fillId="3" borderId="15" xfId="3" applyFont="1" applyFill="1" applyBorder="1" applyAlignment="1">
      <alignment horizontal="center"/>
    </xf>
    <xf numFmtId="0" fontId="19" fillId="3" borderId="70" xfId="3" applyFont="1" applyFill="1" applyBorder="1" applyAlignment="1">
      <alignment horizontal="center"/>
    </xf>
    <xf numFmtId="0" fontId="19" fillId="3" borderId="16" xfId="3" applyFont="1" applyFill="1" applyBorder="1" applyAlignment="1">
      <alignment horizontal="center"/>
    </xf>
    <xf numFmtId="0" fontId="19" fillId="3" borderId="16" xfId="3" applyFont="1" applyFill="1" applyBorder="1" applyAlignment="1">
      <alignment horizontal="center" vertical="center"/>
    </xf>
    <xf numFmtId="0" fontId="28" fillId="3" borderId="31" xfId="3" applyFont="1" applyFill="1" applyBorder="1" applyAlignment="1">
      <alignment horizontal="center"/>
    </xf>
    <xf numFmtId="0" fontId="28" fillId="3" borderId="34" xfId="3" applyFont="1" applyFill="1" applyBorder="1" applyAlignment="1">
      <alignment horizontal="center"/>
    </xf>
    <xf numFmtId="0" fontId="28" fillId="3" borderId="30" xfId="3" applyFont="1" applyFill="1" applyBorder="1" applyAlignment="1">
      <alignment horizontal="center"/>
    </xf>
  </cellXfs>
  <cellStyles count="6">
    <cellStyle name="Comma" xfId="1" builtinId="3"/>
    <cellStyle name="Hyperlink 2" xfId="4"/>
    <cellStyle name="Normal" xfId="0" builtinId="0"/>
    <cellStyle name="Normal 2" xfId="3"/>
    <cellStyle name="Percent" xfId="2" builtinId="5"/>
    <cellStyle name="Percent 2" xfId="5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59999389629810485"/>
  </sheetPr>
  <dimension ref="A1:O36"/>
  <sheetViews>
    <sheetView tabSelected="1" zoomScaleNormal="100" workbookViewId="0">
      <selection activeCell="C5" sqref="C5:E5"/>
    </sheetView>
  </sheetViews>
  <sheetFormatPr defaultRowHeight="15" x14ac:dyDescent="0.25"/>
  <cols>
    <col min="2" max="2" width="33.7109375" customWidth="1"/>
    <col min="3" max="3" width="14.85546875" customWidth="1"/>
    <col min="4" max="4" width="20.7109375" customWidth="1"/>
    <col min="5" max="5" width="9" customWidth="1"/>
    <col min="7" max="7" width="34" customWidth="1"/>
    <col min="8" max="8" width="24.5703125" customWidth="1"/>
    <col min="10" max="10" width="17.85546875" customWidth="1"/>
    <col min="11" max="11" width="24.42578125" customWidth="1"/>
    <col min="12" max="12" width="12.7109375" customWidth="1"/>
    <col min="13" max="13" width="13.28515625" customWidth="1"/>
    <col min="14" max="14" width="22.42578125" customWidth="1"/>
  </cols>
  <sheetData>
    <row r="1" spans="2:14" ht="31.5" x14ac:dyDescent="0.5">
      <c r="B1" s="509" t="s">
        <v>259</v>
      </c>
    </row>
    <row r="3" spans="2:14" ht="19.5" thickBot="1" x14ac:dyDescent="0.35">
      <c r="B3" s="294" t="s">
        <v>241</v>
      </c>
    </row>
    <row r="4" spans="2:14" ht="15.75" thickBot="1" x14ac:dyDescent="0.3">
      <c r="G4" s="569" t="s">
        <v>110</v>
      </c>
      <c r="H4" s="570"/>
      <c r="I4" s="570"/>
      <c r="J4" s="570"/>
      <c r="K4" s="570"/>
      <c r="L4" s="571"/>
    </row>
    <row r="5" spans="2:14" ht="15.75" thickBot="1" x14ac:dyDescent="0.3">
      <c r="B5" s="466" t="s">
        <v>198</v>
      </c>
      <c r="C5" s="540"/>
      <c r="D5" s="540"/>
      <c r="E5" s="541"/>
      <c r="G5" s="46"/>
      <c r="H5" s="572" t="s">
        <v>115</v>
      </c>
      <c r="I5" s="573"/>
      <c r="J5" s="573"/>
      <c r="K5" s="573"/>
      <c r="L5" s="574"/>
    </row>
    <row r="6" spans="2:14" ht="15.75" thickBot="1" x14ac:dyDescent="0.3">
      <c r="B6" s="467" t="s">
        <v>197</v>
      </c>
      <c r="C6" s="542"/>
      <c r="D6" s="543"/>
      <c r="E6" s="544"/>
      <c r="G6" s="30"/>
      <c r="H6" s="575" t="s">
        <v>214</v>
      </c>
      <c r="I6" s="576"/>
      <c r="J6" s="576"/>
      <c r="K6" s="576"/>
      <c r="L6" s="577"/>
    </row>
    <row r="7" spans="2:14" ht="15.75" thickBot="1" x14ac:dyDescent="0.3">
      <c r="G7" s="445"/>
      <c r="H7" s="575" t="s">
        <v>256</v>
      </c>
      <c r="I7" s="576"/>
      <c r="J7" s="576"/>
      <c r="K7" s="576"/>
      <c r="L7" s="577"/>
    </row>
    <row r="8" spans="2:14" ht="15.75" thickBot="1" x14ac:dyDescent="0.3">
      <c r="G8" s="302"/>
      <c r="H8" s="578" t="s">
        <v>213</v>
      </c>
      <c r="I8" s="579"/>
      <c r="J8" s="579"/>
      <c r="K8" s="579"/>
      <c r="L8" s="580"/>
    </row>
    <row r="9" spans="2:14" ht="15.75" thickBot="1" x14ac:dyDescent="0.3">
      <c r="G9" s="105"/>
      <c r="H9" s="106" t="s">
        <v>132</v>
      </c>
      <c r="I9" s="107"/>
      <c r="J9" s="107"/>
      <c r="K9" s="107"/>
      <c r="L9" s="108"/>
    </row>
    <row r="10" spans="2:14" x14ac:dyDescent="0.25">
      <c r="G10" s="4"/>
      <c r="H10" s="440"/>
      <c r="I10" s="4"/>
      <c r="J10" s="4"/>
      <c r="K10" s="4"/>
      <c r="L10" s="4"/>
    </row>
    <row r="11" spans="2:14" ht="15.75" thickBot="1" x14ac:dyDescent="0.3">
      <c r="B11" s="465" t="s">
        <v>242</v>
      </c>
      <c r="G11" s="369" t="s">
        <v>123</v>
      </c>
      <c r="H11" s="370"/>
      <c r="I11" s="370"/>
      <c r="J11" s="4"/>
      <c r="K11" s="369" t="s">
        <v>82</v>
      </c>
      <c r="L11" s="4"/>
    </row>
    <row r="12" spans="2:14" ht="15.75" thickBot="1" x14ac:dyDescent="0.3">
      <c r="B12" s="60" t="s">
        <v>8</v>
      </c>
      <c r="C12" s="530"/>
      <c r="D12" s="58" t="s">
        <v>0</v>
      </c>
      <c r="G12" s="371"/>
      <c r="H12" s="372" t="s">
        <v>13</v>
      </c>
      <c r="I12" s="373" t="s">
        <v>14</v>
      </c>
      <c r="K12" s="555" t="s">
        <v>260</v>
      </c>
      <c r="L12" s="556"/>
      <c r="M12" s="557"/>
      <c r="N12" s="521" t="s">
        <v>9</v>
      </c>
    </row>
    <row r="13" spans="2:14" ht="15.75" thickBot="1" x14ac:dyDescent="0.3">
      <c r="B13" s="59"/>
      <c r="C13" s="303">
        <f>C12/'Conversions and EF'!D12</f>
        <v>0</v>
      </c>
      <c r="D13" s="57" t="s">
        <v>116</v>
      </c>
      <c r="G13" s="566" t="s">
        <v>15</v>
      </c>
      <c r="H13" s="518"/>
      <c r="I13" s="69" t="s">
        <v>17</v>
      </c>
      <c r="K13" s="558" t="s">
        <v>262</v>
      </c>
      <c r="L13" s="559"/>
      <c r="M13" s="560"/>
      <c r="N13" s="522" t="s">
        <v>177</v>
      </c>
    </row>
    <row r="14" spans="2:14" ht="15" customHeight="1" thickBot="1" x14ac:dyDescent="0.3">
      <c r="G14" s="567"/>
      <c r="H14" s="374">
        <f>H13*H32</f>
        <v>0</v>
      </c>
      <c r="I14" s="70" t="s">
        <v>16</v>
      </c>
      <c r="K14" s="561" t="s">
        <v>176</v>
      </c>
      <c r="L14" s="562"/>
      <c r="M14" s="563"/>
      <c r="N14" s="523" t="s">
        <v>9</v>
      </c>
    </row>
    <row r="15" spans="2:14" ht="15" customHeight="1" x14ac:dyDescent="0.25">
      <c r="B15" s="343" t="s">
        <v>94</v>
      </c>
      <c r="C15" s="345" t="s">
        <v>6</v>
      </c>
      <c r="D15" s="347" t="s">
        <v>93</v>
      </c>
      <c r="G15" s="568" t="s">
        <v>18</v>
      </c>
      <c r="H15" s="519"/>
      <c r="I15" s="70" t="s">
        <v>17</v>
      </c>
    </row>
    <row r="16" spans="2:14" ht="15" customHeight="1" thickBot="1" x14ac:dyDescent="0.3">
      <c r="B16" s="344"/>
      <c r="C16" s="346"/>
      <c r="D16" s="348"/>
      <c r="G16" s="567"/>
      <c r="H16" s="374">
        <f>H15*H32</f>
        <v>0</v>
      </c>
      <c r="I16" s="70" t="s">
        <v>16</v>
      </c>
      <c r="K16" s="366" t="s">
        <v>230</v>
      </c>
    </row>
    <row r="17" spans="1:15" ht="15" customHeight="1" thickBot="1" x14ac:dyDescent="0.3">
      <c r="B17" s="32" t="s">
        <v>2</v>
      </c>
      <c r="C17" s="510"/>
      <c r="D17" s="513"/>
      <c r="G17" s="375" t="s">
        <v>19</v>
      </c>
      <c r="H17" s="519"/>
      <c r="I17" s="70" t="s">
        <v>20</v>
      </c>
      <c r="K17" s="156" t="s">
        <v>12</v>
      </c>
      <c r="L17" s="141" t="s">
        <v>13</v>
      </c>
      <c r="M17" s="155" t="s">
        <v>14</v>
      </c>
      <c r="N17" s="551" t="s">
        <v>138</v>
      </c>
      <c r="O17" s="552"/>
    </row>
    <row r="18" spans="1:15" ht="15" customHeight="1" x14ac:dyDescent="0.25">
      <c r="B18" s="33" t="s">
        <v>3</v>
      </c>
      <c r="C18" s="511"/>
      <c r="D18" s="514"/>
      <c r="G18" s="375" t="s">
        <v>21</v>
      </c>
      <c r="H18" s="519"/>
      <c r="I18" s="70" t="s">
        <v>20</v>
      </c>
      <c r="K18" s="531" t="s">
        <v>226</v>
      </c>
      <c r="L18" s="422"/>
      <c r="M18" s="425" t="s">
        <v>229</v>
      </c>
      <c r="N18" s="564" t="s">
        <v>139</v>
      </c>
      <c r="O18" s="565"/>
    </row>
    <row r="19" spans="1:15" ht="15" customHeight="1" x14ac:dyDescent="0.25">
      <c r="B19" s="33" t="s">
        <v>4</v>
      </c>
      <c r="C19" s="511"/>
      <c r="D19" s="22">
        <f>'Conversions and EF'!H8</f>
        <v>104</v>
      </c>
      <c r="G19" s="375" t="s">
        <v>22</v>
      </c>
      <c r="H19" s="374">
        <f>H14*(H17/100)</f>
        <v>0</v>
      </c>
      <c r="I19" s="70" t="s">
        <v>23</v>
      </c>
      <c r="K19" s="531" t="s">
        <v>226</v>
      </c>
      <c r="L19" s="423">
        <f>L18/'Conversions and EF'!D10</f>
        <v>0</v>
      </c>
      <c r="M19" s="169" t="s">
        <v>140</v>
      </c>
      <c r="N19" s="553" t="s">
        <v>139</v>
      </c>
      <c r="O19" s="554"/>
    </row>
    <row r="20" spans="1:15" ht="15" customHeight="1" thickBot="1" x14ac:dyDescent="0.3">
      <c r="B20" s="34" t="s">
        <v>5</v>
      </c>
      <c r="C20" s="512"/>
      <c r="D20" s="11">
        <f>'Conversions and EF'!H9</f>
        <v>261</v>
      </c>
      <c r="G20" s="376" t="s">
        <v>24</v>
      </c>
      <c r="H20" s="377">
        <f>H16*(H18/100)</f>
        <v>0</v>
      </c>
      <c r="I20" s="71" t="s">
        <v>23</v>
      </c>
      <c r="K20" s="167" t="s">
        <v>141</v>
      </c>
      <c r="L20" s="423">
        <f>L19*O20*'Conversions and EF'!D7</f>
        <v>0</v>
      </c>
      <c r="M20" s="165" t="s">
        <v>142</v>
      </c>
      <c r="N20" s="163" t="s">
        <v>143</v>
      </c>
      <c r="O20" s="170">
        <v>1</v>
      </c>
    </row>
    <row r="21" spans="1:15" ht="15" customHeight="1" thickBot="1" x14ac:dyDescent="0.3">
      <c r="G21" s="370"/>
      <c r="H21" s="378"/>
      <c r="I21" s="379"/>
      <c r="K21" s="168" t="s">
        <v>144</v>
      </c>
      <c r="L21" s="424">
        <f>L19*O21*'Conversions and EF'!D6*'Conversions and EF'!D7</f>
        <v>0</v>
      </c>
      <c r="M21" s="166" t="s">
        <v>145</v>
      </c>
      <c r="N21" s="164" t="s">
        <v>146</v>
      </c>
      <c r="O21" s="171">
        <v>1</v>
      </c>
    </row>
    <row r="22" spans="1:15" ht="15" customHeight="1" thickBot="1" x14ac:dyDescent="0.3">
      <c r="A22" s="365"/>
      <c r="B22" s="426" t="s">
        <v>83</v>
      </c>
      <c r="C22" s="427"/>
      <c r="D22" s="428"/>
      <c r="E22" s="429"/>
      <c r="F22" s="364"/>
      <c r="G22" s="380" t="s">
        <v>124</v>
      </c>
      <c r="H22" s="378"/>
      <c r="I22" s="379"/>
    </row>
    <row r="23" spans="1:15" ht="15" customHeight="1" thickBot="1" x14ac:dyDescent="0.3">
      <c r="A23" s="365"/>
      <c r="B23" s="430" t="s">
        <v>275</v>
      </c>
      <c r="C23" s="431"/>
      <c r="D23" s="432"/>
      <c r="E23" s="515" t="s">
        <v>9</v>
      </c>
      <c r="G23" s="381"/>
      <c r="H23" s="382" t="s">
        <v>13</v>
      </c>
      <c r="I23" s="383" t="s">
        <v>14</v>
      </c>
      <c r="K23" s="367" t="s">
        <v>136</v>
      </c>
      <c r="L23" s="131"/>
      <c r="M23" s="131"/>
      <c r="N23" s="131"/>
    </row>
    <row r="24" spans="1:15" ht="15" customHeight="1" thickBot="1" x14ac:dyDescent="0.3">
      <c r="A24" s="365"/>
      <c r="B24" s="433" t="s">
        <v>276</v>
      </c>
      <c r="C24" s="434"/>
      <c r="D24" s="435"/>
      <c r="E24" s="516" t="s">
        <v>9</v>
      </c>
      <c r="G24" s="384" t="s">
        <v>25</v>
      </c>
      <c r="H24" s="385">
        <f>H14*H33</f>
        <v>0</v>
      </c>
      <c r="I24" s="96" t="s">
        <v>23</v>
      </c>
      <c r="K24" s="141" t="s">
        <v>12</v>
      </c>
      <c r="L24" s="145" t="s">
        <v>13</v>
      </c>
      <c r="M24" s="146" t="s">
        <v>14</v>
      </c>
      <c r="N24" s="147" t="s">
        <v>138</v>
      </c>
    </row>
    <row r="25" spans="1:15" ht="15" customHeight="1" x14ac:dyDescent="0.25">
      <c r="A25" s="365"/>
      <c r="B25" s="545" t="s">
        <v>277</v>
      </c>
      <c r="C25" s="546"/>
      <c r="D25" s="547"/>
      <c r="E25" s="517" t="s">
        <v>9</v>
      </c>
      <c r="G25" s="386" t="s">
        <v>26</v>
      </c>
      <c r="H25" s="387">
        <f>H16*H34</f>
        <v>0</v>
      </c>
      <c r="I25" s="75" t="s">
        <v>23</v>
      </c>
      <c r="K25" s="404" t="s">
        <v>264</v>
      </c>
      <c r="L25" s="532"/>
      <c r="M25" s="488" t="s">
        <v>161</v>
      </c>
      <c r="N25" s="407" t="s">
        <v>139</v>
      </c>
    </row>
    <row r="26" spans="1:15" ht="15" customHeight="1" thickBot="1" x14ac:dyDescent="0.3">
      <c r="B26" s="548"/>
      <c r="C26" s="549"/>
      <c r="D26" s="550"/>
      <c r="E26" s="437"/>
      <c r="G26" s="386" t="s">
        <v>126</v>
      </c>
      <c r="H26" s="520">
        <v>7</v>
      </c>
      <c r="I26" s="75" t="s">
        <v>27</v>
      </c>
      <c r="K26" s="487" t="s">
        <v>162</v>
      </c>
      <c r="L26" s="533"/>
      <c r="M26" s="489"/>
      <c r="N26" s="149" t="s">
        <v>139</v>
      </c>
    </row>
    <row r="27" spans="1:15" ht="15" customHeight="1" x14ac:dyDescent="0.25">
      <c r="G27" s="386" t="s">
        <v>127</v>
      </c>
      <c r="H27" s="520">
        <v>15</v>
      </c>
      <c r="I27" s="75" t="s">
        <v>27</v>
      </c>
      <c r="K27" s="487" t="s">
        <v>265</v>
      </c>
      <c r="L27" s="534">
        <v>4</v>
      </c>
      <c r="M27" s="490" t="s">
        <v>191</v>
      </c>
      <c r="N27" s="149" t="s">
        <v>263</v>
      </c>
    </row>
    <row r="28" spans="1:15" ht="15" customHeight="1" thickBot="1" x14ac:dyDescent="0.3">
      <c r="G28" s="386" t="s">
        <v>28</v>
      </c>
      <c r="H28" s="387">
        <f>H14*H35</f>
        <v>0</v>
      </c>
      <c r="I28" s="75" t="s">
        <v>23</v>
      </c>
      <c r="K28" s="408" t="s">
        <v>247</v>
      </c>
      <c r="L28" s="492">
        <v>50</v>
      </c>
      <c r="M28" s="491" t="s">
        <v>191</v>
      </c>
      <c r="N28" s="149" t="s">
        <v>263</v>
      </c>
    </row>
    <row r="29" spans="1:15" ht="15" customHeight="1" thickBot="1" x14ac:dyDescent="0.3">
      <c r="B29" s="465" t="s">
        <v>266</v>
      </c>
      <c r="C29" s="23"/>
      <c r="D29" s="23"/>
      <c r="G29" s="388" t="s">
        <v>29</v>
      </c>
      <c r="H29" s="389">
        <f>H16*H36</f>
        <v>0</v>
      </c>
      <c r="I29" s="76" t="s">
        <v>23</v>
      </c>
      <c r="K29" s="21"/>
    </row>
    <row r="30" spans="1:15" ht="18" thickBot="1" x14ac:dyDescent="0.3">
      <c r="B30" s="535" t="s">
        <v>267</v>
      </c>
      <c r="C30" s="536" t="e">
        <f>'Trip Rate Calculations'!C23</f>
        <v>#DIV/0!</v>
      </c>
      <c r="D30" s="257" t="s">
        <v>108</v>
      </c>
      <c r="G30" s="370"/>
      <c r="H30" s="390"/>
      <c r="I30" s="370"/>
      <c r="K30" s="501" t="s">
        <v>251</v>
      </c>
    </row>
    <row r="31" spans="1:15" ht="18" thickBot="1" x14ac:dyDescent="0.3">
      <c r="B31" s="109" t="s">
        <v>268</v>
      </c>
      <c r="C31" s="537" t="e">
        <f>'Trip Rate Calculations'!E36</f>
        <v>#DIV/0!</v>
      </c>
      <c r="D31" s="11" t="s">
        <v>108</v>
      </c>
      <c r="G31" s="369" t="s">
        <v>125</v>
      </c>
      <c r="H31" s="368"/>
      <c r="I31" s="370"/>
      <c r="K31" t="s">
        <v>250</v>
      </c>
    </row>
    <row r="32" spans="1:15" x14ac:dyDescent="0.25">
      <c r="G32" s="88" t="s">
        <v>30</v>
      </c>
      <c r="H32" s="391">
        <f>12*0.75/3.785412</f>
        <v>2.3775483355576621</v>
      </c>
      <c r="I32" s="379"/>
      <c r="J32" t="s">
        <v>244</v>
      </c>
      <c r="K32" t="s">
        <v>252</v>
      </c>
    </row>
    <row r="33" spans="2:11" ht="17.25" x14ac:dyDescent="0.25">
      <c r="B33" t="s">
        <v>269</v>
      </c>
      <c r="G33" s="102" t="s">
        <v>128</v>
      </c>
      <c r="H33" s="392">
        <v>0.3</v>
      </c>
      <c r="I33" s="393"/>
      <c r="K33" t="s">
        <v>255</v>
      </c>
    </row>
    <row r="34" spans="2:11" ht="17.25" x14ac:dyDescent="0.25">
      <c r="B34" t="s">
        <v>270</v>
      </c>
      <c r="G34" s="102" t="s">
        <v>129</v>
      </c>
      <c r="H34" s="392">
        <v>0.3</v>
      </c>
      <c r="I34" s="393"/>
      <c r="K34" t="s">
        <v>253</v>
      </c>
    </row>
    <row r="35" spans="2:11" x14ac:dyDescent="0.25">
      <c r="G35" s="102" t="s">
        <v>130</v>
      </c>
      <c r="H35" s="392">
        <v>0.4</v>
      </c>
      <c r="I35" s="393"/>
      <c r="K35" t="s">
        <v>254</v>
      </c>
    </row>
    <row r="36" spans="2:11" ht="15.75" thickBot="1" x14ac:dyDescent="0.3">
      <c r="G36" s="103" t="s">
        <v>131</v>
      </c>
      <c r="H36" s="394">
        <v>0.25</v>
      </c>
      <c r="I36" s="393"/>
    </row>
  </sheetData>
  <sheetProtection algorithmName="SHA-512" hashValue="B+7tTZIfQZ8OgSsvBb9DljaN1VplKYrnKPNQkDbVpGsfxkje8UbvUkVJF9kr76+iPWN8spLqo5sLXdoZnEHOmA==" saltValue="SLV2qWHoiFtSMI/T9fCqyg==" spinCount="100000" sheet="1" objects="1" scenarios="1"/>
  <mergeCells count="16">
    <mergeCell ref="G4:L4"/>
    <mergeCell ref="H5:L5"/>
    <mergeCell ref="H6:L6"/>
    <mergeCell ref="H8:L8"/>
    <mergeCell ref="H7:L7"/>
    <mergeCell ref="C5:E5"/>
    <mergeCell ref="C6:E6"/>
    <mergeCell ref="B25:D26"/>
    <mergeCell ref="N17:O17"/>
    <mergeCell ref="N19:O19"/>
    <mergeCell ref="K12:M12"/>
    <mergeCell ref="K13:M13"/>
    <mergeCell ref="K14:M14"/>
    <mergeCell ref="N18:O18"/>
    <mergeCell ref="G13:G14"/>
    <mergeCell ref="G15:G16"/>
  </mergeCells>
  <dataValidations count="3">
    <dataValidation type="list" allowBlank="1" showInputMessage="1" showErrorMessage="1" sqref="E23:E25 N14 N12">
      <formula1>YesNo</formula1>
    </dataValidation>
    <dataValidation type="decimal" operator="lessThan" allowBlank="1" showInputMessage="1" showErrorMessage="1" sqref="L25">
      <formula1>751</formula1>
    </dataValidation>
    <dataValidation type="whole" allowBlank="1" showInputMessage="1" showErrorMessage="1" sqref="L26">
      <formula1>2</formula1>
      <formula2>4</formula2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'Conversions and EF'!$B$95:$B$96</xm:f>
          </x14:formula1>
          <xm:sqref>N13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W30"/>
  <sheetViews>
    <sheetView zoomScaleNormal="100" workbookViewId="0">
      <selection activeCell="E22" sqref="E22"/>
    </sheetView>
  </sheetViews>
  <sheetFormatPr defaultRowHeight="15" x14ac:dyDescent="0.25"/>
  <cols>
    <col min="2" max="2" width="16" customWidth="1"/>
    <col min="3" max="3" width="15" customWidth="1"/>
    <col min="4" max="4" width="12" customWidth="1"/>
    <col min="5" max="5" width="10.42578125" customWidth="1"/>
    <col min="6" max="6" width="10.140625" customWidth="1"/>
    <col min="13" max="13" width="35.5703125" customWidth="1"/>
    <col min="14" max="14" width="9" customWidth="1"/>
    <col min="15" max="15" width="9.140625" customWidth="1"/>
  </cols>
  <sheetData>
    <row r="1" spans="2:23" ht="15.75" thickBot="1" x14ac:dyDescent="0.3"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2:23" ht="19.5" thickBot="1" x14ac:dyDescent="0.35">
      <c r="B2" s="294" t="s">
        <v>240</v>
      </c>
      <c r="I2" s="569" t="s">
        <v>110</v>
      </c>
      <c r="J2" s="570"/>
      <c r="K2" s="570"/>
      <c r="L2" s="570"/>
      <c r="M2" s="570"/>
      <c r="N2" s="571"/>
      <c r="O2" s="249"/>
      <c r="P2" s="249"/>
      <c r="Q2" s="249"/>
      <c r="R2" s="249"/>
      <c r="S2" s="249"/>
      <c r="T2" s="249"/>
      <c r="U2" s="249"/>
      <c r="V2" s="249"/>
      <c r="W2" s="249"/>
    </row>
    <row r="3" spans="2:23" ht="19.5" thickBot="1" x14ac:dyDescent="0.35">
      <c r="B3" s="294"/>
      <c r="I3" s="46"/>
      <c r="J3" s="572" t="s">
        <v>115</v>
      </c>
      <c r="K3" s="573"/>
      <c r="L3" s="573"/>
      <c r="M3" s="573"/>
      <c r="N3" s="574"/>
      <c r="O3" s="249"/>
      <c r="P3" s="249"/>
      <c r="Q3" s="249"/>
      <c r="R3" s="249"/>
      <c r="S3" s="249"/>
      <c r="T3" s="249"/>
      <c r="U3" s="249"/>
      <c r="V3" s="249"/>
      <c r="W3" s="249"/>
    </row>
    <row r="4" spans="2:23" ht="15.75" thickBot="1" x14ac:dyDescent="0.3">
      <c r="B4" s="506" t="s">
        <v>257</v>
      </c>
      <c r="C4" s="581" t="str">
        <f>IF('Project Data Input'!C5:E5="","",'Project Data Input'!C5:E5)</f>
        <v/>
      </c>
      <c r="D4" s="582"/>
      <c r="E4" s="582"/>
      <c r="F4" s="583"/>
      <c r="I4" s="30"/>
      <c r="J4" s="575" t="s">
        <v>214</v>
      </c>
      <c r="K4" s="576"/>
      <c r="L4" s="576"/>
      <c r="M4" s="576"/>
      <c r="N4" s="577"/>
      <c r="O4" s="249"/>
      <c r="P4" s="249"/>
      <c r="Q4" s="249"/>
      <c r="R4" s="249"/>
      <c r="S4" s="249"/>
      <c r="T4" s="249"/>
      <c r="U4" s="249"/>
      <c r="V4" s="249"/>
      <c r="W4" s="249"/>
    </row>
    <row r="5" spans="2:23" ht="15.75" thickBot="1" x14ac:dyDescent="0.3">
      <c r="B5" s="507" t="s">
        <v>258</v>
      </c>
      <c r="C5" s="584" t="str">
        <f>IF('Project Data Input'!C6:E6="","",'Project Data Input'!C6:E6)</f>
        <v/>
      </c>
      <c r="D5" s="585"/>
      <c r="E5" s="585"/>
      <c r="F5" s="586"/>
      <c r="I5" s="445"/>
      <c r="J5" s="575" t="s">
        <v>256</v>
      </c>
      <c r="K5" s="576"/>
      <c r="L5" s="576"/>
      <c r="M5" s="576"/>
      <c r="N5" s="577"/>
      <c r="O5" s="249"/>
      <c r="P5" s="249"/>
      <c r="Q5" s="249"/>
      <c r="R5" s="249"/>
      <c r="S5" s="249"/>
      <c r="T5" s="249"/>
      <c r="U5" s="249"/>
      <c r="V5" s="249"/>
      <c r="W5" s="249"/>
    </row>
    <row r="6" spans="2:23" ht="15.75" thickBot="1" x14ac:dyDescent="0.3">
      <c r="B6" s="538" t="s">
        <v>271</v>
      </c>
      <c r="I6" s="302"/>
      <c r="J6" s="578" t="s">
        <v>213</v>
      </c>
      <c r="K6" s="579"/>
      <c r="L6" s="579"/>
      <c r="M6" s="579"/>
      <c r="N6" s="580"/>
      <c r="O6" s="249"/>
      <c r="P6" s="249"/>
      <c r="Q6" s="249"/>
      <c r="R6" s="249"/>
      <c r="S6" s="249"/>
      <c r="T6" s="249"/>
      <c r="U6" s="249"/>
      <c r="V6" s="249"/>
      <c r="W6" s="249"/>
    </row>
    <row r="7" spans="2:23" ht="15.75" thickBot="1" x14ac:dyDescent="0.3">
      <c r="I7" s="105"/>
      <c r="J7" s="106" t="s">
        <v>132</v>
      </c>
      <c r="K7" s="107"/>
      <c r="L7" s="107"/>
      <c r="M7" s="107"/>
      <c r="N7" s="108"/>
      <c r="O7" s="23"/>
      <c r="P7" s="23"/>
      <c r="Q7" s="23"/>
      <c r="R7" s="23"/>
      <c r="S7" s="23"/>
      <c r="T7" s="23"/>
      <c r="U7" s="23"/>
      <c r="V7" s="23"/>
      <c r="W7" s="23"/>
    </row>
    <row r="8" spans="2:23" ht="15.75" thickBot="1" x14ac:dyDescent="0.3">
      <c r="B8" s="600" t="s">
        <v>81</v>
      </c>
      <c r="C8" s="600"/>
      <c r="D8" s="600"/>
      <c r="E8" s="600"/>
      <c r="F8" s="600"/>
      <c r="O8" s="23"/>
      <c r="P8" s="23"/>
      <c r="Q8" s="23"/>
      <c r="R8" s="23"/>
      <c r="S8" s="23"/>
      <c r="T8" s="23"/>
      <c r="U8" s="23"/>
      <c r="V8" s="23"/>
      <c r="W8" s="23"/>
    </row>
    <row r="9" spans="2:23" ht="30.75" customHeight="1" thickBot="1" x14ac:dyDescent="0.3">
      <c r="B9" s="598" t="s">
        <v>205</v>
      </c>
      <c r="C9" s="599"/>
      <c r="D9" s="186" t="s">
        <v>202</v>
      </c>
      <c r="E9" s="187" t="s">
        <v>203</v>
      </c>
      <c r="F9" s="188" t="s">
        <v>204</v>
      </c>
    </row>
    <row r="10" spans="2:23" x14ac:dyDescent="0.25">
      <c r="B10" s="602" t="s">
        <v>199</v>
      </c>
      <c r="C10" s="185" t="s">
        <v>200</v>
      </c>
      <c r="D10" s="511"/>
      <c r="E10" s="525"/>
      <c r="F10" s="539" t="s">
        <v>272</v>
      </c>
    </row>
    <row r="11" spans="2:23" x14ac:dyDescent="0.25">
      <c r="B11" s="603"/>
      <c r="C11" s="185" t="s">
        <v>201</v>
      </c>
      <c r="D11" s="511"/>
      <c r="E11" s="511"/>
      <c r="F11" s="514"/>
      <c r="I11" t="s">
        <v>244</v>
      </c>
    </row>
    <row r="12" spans="2:23" x14ac:dyDescent="0.25">
      <c r="B12" s="589" t="s">
        <v>34</v>
      </c>
      <c r="C12" s="590"/>
      <c r="D12" s="201">
        <f>'Wine ROC Emissions'!I11</f>
        <v>0</v>
      </c>
      <c r="E12" s="206">
        <v>0</v>
      </c>
      <c r="F12" s="207">
        <v>0</v>
      </c>
    </row>
    <row r="13" spans="2:23" x14ac:dyDescent="0.25">
      <c r="B13" s="597" t="s">
        <v>82</v>
      </c>
      <c r="C13" s="185" t="s">
        <v>230</v>
      </c>
      <c r="D13" s="193" t="e">
        <f>'Equipment Data'!D25</f>
        <v>#N/A</v>
      </c>
      <c r="E13" s="202" t="e">
        <f>'Equipment Data'!D24</f>
        <v>#N/A</v>
      </c>
      <c r="F13" s="203" t="e">
        <f>'Equipment Data'!D28</f>
        <v>#N/A</v>
      </c>
    </row>
    <row r="14" spans="2:23" ht="15.75" thickBot="1" x14ac:dyDescent="0.3">
      <c r="B14" s="601"/>
      <c r="C14" s="189" t="s">
        <v>136</v>
      </c>
      <c r="D14" s="194" t="e">
        <f>'Equipment Data'!E43</f>
        <v>#N/A</v>
      </c>
      <c r="E14" s="204" t="e">
        <f>'Equipment Data'!E42</f>
        <v>#N/A</v>
      </c>
      <c r="F14" s="205" t="e">
        <f>'Equipment Data'!E46</f>
        <v>#N/A</v>
      </c>
    </row>
    <row r="15" spans="2:23" ht="15.75" thickBot="1" x14ac:dyDescent="0.3">
      <c r="B15" s="587" t="s">
        <v>273</v>
      </c>
      <c r="C15" s="588"/>
      <c r="D15" s="441" t="e">
        <f>SUM(D11:D14)</f>
        <v>#N/A</v>
      </c>
      <c r="E15" s="441" t="e">
        <f t="shared" ref="E15:F15" si="0">SUM(E11:E14)</f>
        <v>#N/A</v>
      </c>
      <c r="F15" s="442" t="e">
        <f t="shared" si="0"/>
        <v>#N/A</v>
      </c>
    </row>
    <row r="18" spans="2:4" ht="15.75" thickBot="1" x14ac:dyDescent="0.3">
      <c r="B18" s="593" t="s">
        <v>206</v>
      </c>
      <c r="C18" s="593"/>
      <c r="D18" s="593"/>
    </row>
    <row r="19" spans="2:4" ht="15.75" thickBot="1" x14ac:dyDescent="0.3">
      <c r="B19" s="594" t="s">
        <v>205</v>
      </c>
      <c r="C19" s="595"/>
      <c r="D19" s="191" t="s">
        <v>193</v>
      </c>
    </row>
    <row r="20" spans="2:4" x14ac:dyDescent="0.25">
      <c r="B20" s="591" t="s">
        <v>199</v>
      </c>
      <c r="C20" s="592"/>
      <c r="D20" s="524"/>
    </row>
    <row r="21" spans="2:4" x14ac:dyDescent="0.25">
      <c r="B21" s="589" t="s">
        <v>34</v>
      </c>
      <c r="C21" s="590"/>
      <c r="D21" s="198">
        <f>'Fermentation CO2 Emissions '!C15</f>
        <v>0</v>
      </c>
    </row>
    <row r="22" spans="2:4" x14ac:dyDescent="0.25">
      <c r="B22" s="596" t="s">
        <v>82</v>
      </c>
      <c r="C22" s="190" t="s">
        <v>230</v>
      </c>
      <c r="D22" s="199">
        <f>'Equipment GHG Emissions'!C12</f>
        <v>0</v>
      </c>
    </row>
    <row r="23" spans="2:4" ht="15.75" thickBot="1" x14ac:dyDescent="0.3">
      <c r="B23" s="597"/>
      <c r="C23" s="192" t="s">
        <v>136</v>
      </c>
      <c r="D23" s="200">
        <f>'Equipment GHG Emissions'!C18</f>
        <v>0</v>
      </c>
    </row>
    <row r="24" spans="2:4" ht="15.75" thickBot="1" x14ac:dyDescent="0.3">
      <c r="B24" s="587" t="s">
        <v>274</v>
      </c>
      <c r="C24" s="588"/>
      <c r="D24" s="443">
        <f>SUM(D20:D23)</f>
        <v>0</v>
      </c>
    </row>
    <row r="30" spans="2:4" x14ac:dyDescent="0.25">
      <c r="C30" s="13"/>
    </row>
  </sheetData>
  <sheetProtection algorithmName="SHA-512" hashValue="55sFuKIig/IHA4+suxxBFNdzrIG8zmIYvj/lMLf0KWB4wkrzXfAL3A4stLTE/S+QQWhoLbarRuoeEUd1ZKwIuQ==" saltValue="k/NKbxjcFDWZIb+O5lKAig==" spinCount="100000" sheet="1" objects="1" scenarios="1"/>
  <mergeCells count="19">
    <mergeCell ref="J6:N6"/>
    <mergeCell ref="B24:C24"/>
    <mergeCell ref="B21:C21"/>
    <mergeCell ref="B20:C20"/>
    <mergeCell ref="B18:D18"/>
    <mergeCell ref="B19:C19"/>
    <mergeCell ref="B22:B23"/>
    <mergeCell ref="B12:C12"/>
    <mergeCell ref="B15:C15"/>
    <mergeCell ref="B9:C9"/>
    <mergeCell ref="B8:F8"/>
    <mergeCell ref="B13:B14"/>
    <mergeCell ref="B10:B11"/>
    <mergeCell ref="I2:N2"/>
    <mergeCell ref="J3:N3"/>
    <mergeCell ref="J4:N4"/>
    <mergeCell ref="J5:N5"/>
    <mergeCell ref="C4:F4"/>
    <mergeCell ref="C5:F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Q121"/>
  <sheetViews>
    <sheetView workbookViewId="0">
      <selection activeCell="B16" sqref="B16:G16"/>
    </sheetView>
  </sheetViews>
  <sheetFormatPr defaultRowHeight="15" x14ac:dyDescent="0.25"/>
  <cols>
    <col min="2" max="2" width="22.5703125" customWidth="1"/>
    <col min="3" max="3" width="11.42578125" customWidth="1"/>
    <col min="4" max="4" width="13.7109375" customWidth="1"/>
    <col min="5" max="5" width="11.42578125" customWidth="1"/>
    <col min="6" max="6" width="25.5703125" customWidth="1"/>
    <col min="8" max="8" width="11.7109375" customWidth="1"/>
    <col min="9" max="9" width="15.7109375" customWidth="1"/>
    <col min="13" max="13" width="11.85546875" customWidth="1"/>
    <col min="14" max="14" width="32.140625" customWidth="1"/>
    <col min="17" max="17" width="117.85546875" customWidth="1"/>
    <col min="22" max="22" width="10" customWidth="1"/>
  </cols>
  <sheetData>
    <row r="1" spans="1:17" x14ac:dyDescent="0.25"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18.75" x14ac:dyDescent="0.3">
      <c r="B2" s="294" t="s">
        <v>217</v>
      </c>
      <c r="H2" s="23"/>
      <c r="I2" s="249"/>
      <c r="J2" s="249"/>
      <c r="K2" s="249"/>
      <c r="L2" s="249"/>
      <c r="M2" s="249"/>
      <c r="N2" s="249"/>
      <c r="O2" s="23"/>
      <c r="P2" s="23"/>
      <c r="Q2" s="23"/>
    </row>
    <row r="3" spans="1:17" x14ac:dyDescent="0.25">
      <c r="B3" s="23"/>
      <c r="C3" s="248"/>
      <c r="D3" s="248"/>
      <c r="E3" s="248"/>
      <c r="H3" s="23"/>
      <c r="I3" s="23"/>
      <c r="J3" s="249"/>
      <c r="K3" s="249"/>
      <c r="L3" s="249"/>
      <c r="M3" s="249"/>
      <c r="N3" s="249"/>
      <c r="O3" s="23"/>
      <c r="P3" s="23"/>
      <c r="Q3" s="23"/>
    </row>
    <row r="4" spans="1:17" ht="15.75" thickBot="1" x14ac:dyDescent="0.3">
      <c r="B4" s="1" t="s">
        <v>1</v>
      </c>
      <c r="H4" s="23"/>
      <c r="I4" s="444"/>
      <c r="J4" s="444"/>
      <c r="K4" s="444"/>
      <c r="L4" s="444"/>
      <c r="M4" s="444"/>
      <c r="N4" s="444"/>
      <c r="O4" s="23"/>
      <c r="P4" s="23"/>
      <c r="Q4" s="23"/>
    </row>
    <row r="5" spans="1:17" ht="15.75" thickBot="1" x14ac:dyDescent="0.3">
      <c r="B5" s="60" t="s">
        <v>8</v>
      </c>
      <c r="C5" s="446">
        <f>'Project Data Input'!C12</f>
        <v>0</v>
      </c>
      <c r="D5" s="58" t="s">
        <v>0</v>
      </c>
      <c r="F5" s="21"/>
      <c r="G5" s="21"/>
      <c r="H5" s="23"/>
      <c r="I5" s="23"/>
      <c r="J5" s="23"/>
      <c r="K5" s="23"/>
      <c r="L5" s="23"/>
      <c r="M5" s="23"/>
      <c r="N5" s="23"/>
      <c r="O5" s="23"/>
      <c r="P5" s="23"/>
      <c r="Q5" s="23"/>
    </row>
    <row r="6" spans="1:17" ht="15.75" thickBot="1" x14ac:dyDescent="0.3">
      <c r="B6" s="59"/>
      <c r="C6" s="303">
        <f>'Project Data Input'!C13</f>
        <v>0</v>
      </c>
      <c r="D6" s="57" t="s">
        <v>116</v>
      </c>
      <c r="F6" s="21"/>
      <c r="G6" s="21"/>
      <c r="H6" s="21"/>
      <c r="I6" s="23"/>
      <c r="J6" s="23"/>
      <c r="K6" s="23"/>
      <c r="L6" s="23"/>
      <c r="M6" s="23"/>
      <c r="N6" s="23"/>
    </row>
    <row r="7" spans="1:17" ht="15.75" thickBot="1" x14ac:dyDescent="0.3">
      <c r="F7" s="21"/>
      <c r="G7" s="21"/>
      <c r="H7" s="21"/>
      <c r="I7" s="21"/>
    </row>
    <row r="8" spans="1:17" x14ac:dyDescent="0.25">
      <c r="B8" s="612" t="s">
        <v>94</v>
      </c>
      <c r="C8" s="614" t="s">
        <v>6</v>
      </c>
      <c r="D8" s="618" t="s">
        <v>93</v>
      </c>
      <c r="F8" s="21"/>
      <c r="G8" s="21"/>
      <c r="H8" s="21"/>
      <c r="I8" s="21"/>
    </row>
    <row r="9" spans="1:17" ht="15.75" thickBot="1" x14ac:dyDescent="0.3">
      <c r="B9" s="613"/>
      <c r="C9" s="615"/>
      <c r="D9" s="619"/>
      <c r="F9" s="21"/>
      <c r="G9" s="21"/>
      <c r="H9" s="21"/>
      <c r="I9" s="21"/>
    </row>
    <row r="10" spans="1:17" x14ac:dyDescent="0.25">
      <c r="B10" s="32" t="s">
        <v>2</v>
      </c>
      <c r="C10" s="447">
        <f>'Project Data Input'!C17</f>
        <v>0</v>
      </c>
      <c r="D10" s="449">
        <f>'Project Data Input'!D17</f>
        <v>0</v>
      </c>
      <c r="F10" s="21"/>
      <c r="G10" s="21"/>
      <c r="H10" s="21"/>
      <c r="I10" s="21"/>
    </row>
    <row r="11" spans="1:17" x14ac:dyDescent="0.25">
      <c r="B11" s="33" t="s">
        <v>3</v>
      </c>
      <c r="C11" s="447">
        <f>'Project Data Input'!C18</f>
        <v>0</v>
      </c>
      <c r="D11" s="449">
        <f>'Project Data Input'!D18</f>
        <v>0</v>
      </c>
      <c r="F11" s="21"/>
      <c r="G11" s="21"/>
      <c r="H11" s="21"/>
      <c r="I11" s="21"/>
    </row>
    <row r="12" spans="1:17" x14ac:dyDescent="0.25">
      <c r="B12" s="33" t="s">
        <v>4</v>
      </c>
      <c r="C12" s="447">
        <f>'Project Data Input'!C19</f>
        <v>0</v>
      </c>
      <c r="D12" s="22">
        <f>'Project Data Input'!D19</f>
        <v>104</v>
      </c>
      <c r="G12" s="21"/>
    </row>
    <row r="13" spans="1:17" ht="15.75" thickBot="1" x14ac:dyDescent="0.3">
      <c r="B13" s="34" t="s">
        <v>5</v>
      </c>
      <c r="C13" s="450">
        <f>'Project Data Input'!C20</f>
        <v>0</v>
      </c>
      <c r="D13" s="11">
        <f>'Project Data Input'!D20</f>
        <v>261</v>
      </c>
      <c r="G13" s="21"/>
    </row>
    <row r="14" spans="1:17" ht="15.75" thickBot="1" x14ac:dyDescent="0.3">
      <c r="G14" s="21"/>
      <c r="I14" s="23"/>
      <c r="J14" s="23"/>
      <c r="K14" s="23"/>
      <c r="L14" s="23"/>
      <c r="M14" s="21"/>
    </row>
    <row r="15" spans="1:17" ht="15" customHeight="1" thickBot="1" x14ac:dyDescent="0.3">
      <c r="A15" s="61" t="s">
        <v>103</v>
      </c>
      <c r="B15" s="607" t="s">
        <v>83</v>
      </c>
      <c r="C15" s="608"/>
      <c r="D15" s="608"/>
      <c r="E15" s="608"/>
      <c r="F15" s="608"/>
      <c r="G15" s="608"/>
      <c r="H15" s="609"/>
      <c r="I15" s="23"/>
      <c r="J15" s="23"/>
      <c r="K15" s="23"/>
      <c r="L15" s="23"/>
      <c r="M15" s="21"/>
    </row>
    <row r="16" spans="1:17" ht="15.75" thickBot="1" x14ac:dyDescent="0.3">
      <c r="A16" s="61">
        <v>1</v>
      </c>
      <c r="B16" s="604" t="s">
        <v>275</v>
      </c>
      <c r="C16" s="605"/>
      <c r="D16" s="605"/>
      <c r="E16" s="605"/>
      <c r="F16" s="605"/>
      <c r="G16" s="606"/>
      <c r="H16" s="448" t="str">
        <f>'Project Data Input'!E23</f>
        <v>Yes</v>
      </c>
      <c r="I16" s="23"/>
      <c r="J16" s="23"/>
      <c r="K16" s="23"/>
      <c r="L16" s="23"/>
      <c r="M16" s="21"/>
    </row>
    <row r="17" spans="1:13" ht="15.75" thickBot="1" x14ac:dyDescent="0.3">
      <c r="A17" s="61">
        <v>2</v>
      </c>
      <c r="B17" s="604" t="s">
        <v>278</v>
      </c>
      <c r="C17" s="605"/>
      <c r="D17" s="605"/>
      <c r="E17" s="605"/>
      <c r="F17" s="605"/>
      <c r="G17" s="606"/>
      <c r="H17" s="448" t="str">
        <f>'Project Data Input'!E24</f>
        <v>Yes</v>
      </c>
      <c r="I17" s="23"/>
      <c r="J17" s="23"/>
      <c r="K17" s="23"/>
      <c r="L17" s="23"/>
      <c r="M17" s="21"/>
    </row>
    <row r="18" spans="1:13" ht="15.75" thickBot="1" x14ac:dyDescent="0.3">
      <c r="A18" s="61">
        <v>3</v>
      </c>
      <c r="B18" s="604" t="s">
        <v>277</v>
      </c>
      <c r="C18" s="605"/>
      <c r="D18" s="605"/>
      <c r="E18" s="605"/>
      <c r="F18" s="605"/>
      <c r="G18" s="606"/>
      <c r="H18" s="448" t="str">
        <f>'Project Data Input'!E25</f>
        <v>Yes</v>
      </c>
      <c r="I18" s="21"/>
      <c r="J18" s="21"/>
      <c r="K18" s="21"/>
      <c r="L18" s="21"/>
      <c r="M18" s="21"/>
    </row>
    <row r="19" spans="1:13" x14ac:dyDescent="0.25">
      <c r="G19" s="21"/>
      <c r="I19" s="21"/>
      <c r="J19" s="21"/>
      <c r="K19" s="21"/>
      <c r="L19" s="21"/>
      <c r="M19" s="21"/>
    </row>
    <row r="20" spans="1:13" ht="15.75" thickBot="1" x14ac:dyDescent="0.3">
      <c r="B20" s="1" t="s">
        <v>7</v>
      </c>
      <c r="C20" t="s">
        <v>11</v>
      </c>
      <c r="G20" s="21"/>
    </row>
    <row r="21" spans="1:13" ht="15.75" thickBot="1" x14ac:dyDescent="0.3">
      <c r="A21" s="31" t="str">
        <f>$G$112</f>
        <v>A</v>
      </c>
    </row>
    <row r="22" spans="1:13" ht="15.75" thickBot="1" x14ac:dyDescent="0.3">
      <c r="C22" s="45">
        <f>IF($A$21=$G$114,H47,IF($A$21=$G$115,H57,IF($A$21=$G$116,H67,IF($A$21=$G$117,H77,IF($A$21=$G$118,H87,$G$119)))))</f>
        <v>0</v>
      </c>
      <c r="D22" t="s">
        <v>6</v>
      </c>
    </row>
    <row r="23" spans="1:13" ht="15.75" thickBot="1" x14ac:dyDescent="0.3">
      <c r="C23" s="304" t="e">
        <f>C22/C6</f>
        <v>#DIV/0!</v>
      </c>
      <c r="D23" t="s">
        <v>108</v>
      </c>
    </row>
    <row r="24" spans="1:13" x14ac:dyDescent="0.25">
      <c r="B24" t="s">
        <v>111</v>
      </c>
    </row>
    <row r="27" spans="1:13" x14ac:dyDescent="0.25">
      <c r="B27" s="1" t="s">
        <v>84</v>
      </c>
      <c r="C27" t="s">
        <v>117</v>
      </c>
    </row>
    <row r="28" spans="1:13" ht="15.75" thickBot="1" x14ac:dyDescent="0.3">
      <c r="B28" s="1"/>
    </row>
    <row r="29" spans="1:13" ht="15.75" thickBot="1" x14ac:dyDescent="0.3">
      <c r="A29" s="35" t="str">
        <f>$G$112</f>
        <v>A</v>
      </c>
      <c r="B29" s="612" t="s">
        <v>109</v>
      </c>
      <c r="C29" s="614" t="s">
        <v>6</v>
      </c>
      <c r="D29" s="616" t="s">
        <v>85</v>
      </c>
      <c r="E29" s="618" t="s">
        <v>90</v>
      </c>
    </row>
    <row r="30" spans="1:13" ht="15.75" thickBot="1" x14ac:dyDescent="0.3">
      <c r="B30" s="613"/>
      <c r="C30" s="615"/>
      <c r="D30" s="617"/>
      <c r="E30" s="619"/>
    </row>
    <row r="31" spans="1:13" x14ac:dyDescent="0.25">
      <c r="B31" s="32" t="s">
        <v>2</v>
      </c>
      <c r="C31" s="42">
        <f t="shared" ref="C31:E34" si="0">IF($A$29=$G$114,C47,IF($A$29=$G$115,C57,IF($A$29=$G$116,C67,IF($A$29=$G$117,C77,IF($A$29=$G$118,C87,$G$119)))))</f>
        <v>0</v>
      </c>
      <c r="D31" s="40">
        <f t="shared" si="0"/>
        <v>0</v>
      </c>
      <c r="E31" s="41">
        <f t="shared" si="0"/>
        <v>0</v>
      </c>
    </row>
    <row r="32" spans="1:13" x14ac:dyDescent="0.25">
      <c r="B32" s="33" t="s">
        <v>3</v>
      </c>
      <c r="C32" s="43">
        <f t="shared" si="0"/>
        <v>0</v>
      </c>
      <c r="D32" s="36">
        <f t="shared" si="0"/>
        <v>0</v>
      </c>
      <c r="E32" s="37">
        <f t="shared" si="0"/>
        <v>0</v>
      </c>
    </row>
    <row r="33" spans="1:9" x14ac:dyDescent="0.25">
      <c r="B33" s="33" t="s">
        <v>4</v>
      </c>
      <c r="C33" s="43">
        <f t="shared" si="0"/>
        <v>0</v>
      </c>
      <c r="D33" s="36">
        <f t="shared" si="0"/>
        <v>104</v>
      </c>
      <c r="E33" s="37">
        <f t="shared" si="0"/>
        <v>0</v>
      </c>
    </row>
    <row r="34" spans="1:9" ht="15.75" thickBot="1" x14ac:dyDescent="0.3">
      <c r="B34" s="34" t="s">
        <v>5</v>
      </c>
      <c r="C34" s="44">
        <f t="shared" si="0"/>
        <v>0</v>
      </c>
      <c r="D34" s="38">
        <f t="shared" si="0"/>
        <v>261</v>
      </c>
      <c r="E34" s="39">
        <f t="shared" si="0"/>
        <v>0</v>
      </c>
    </row>
    <row r="35" spans="1:9" ht="15.75" thickBot="1" x14ac:dyDescent="0.3">
      <c r="E35" s="30">
        <f>SUM(E31:E34)</f>
        <v>0</v>
      </c>
      <c r="F35" t="s">
        <v>107</v>
      </c>
    </row>
    <row r="36" spans="1:9" ht="15.75" thickBot="1" x14ac:dyDescent="0.3">
      <c r="E36" s="305" t="e">
        <f>E35/C101/C6</f>
        <v>#DIV/0!</v>
      </c>
      <c r="F36" t="s">
        <v>108</v>
      </c>
    </row>
    <row r="37" spans="1:9" x14ac:dyDescent="0.25">
      <c r="B37" t="s">
        <v>113</v>
      </c>
    </row>
    <row r="41" spans="1:9" ht="15.75" thickBot="1" x14ac:dyDescent="0.3"/>
    <row r="42" spans="1:9" ht="15.75" thickBot="1" x14ac:dyDescent="0.3">
      <c r="A42" s="569" t="s">
        <v>112</v>
      </c>
      <c r="B42" s="570"/>
      <c r="C42" s="570"/>
      <c r="D42" s="570"/>
      <c r="E42" s="570"/>
      <c r="F42" s="570"/>
      <c r="G42" s="570"/>
      <c r="H42" s="570"/>
      <c r="I42" s="571"/>
    </row>
    <row r="43" spans="1:9" ht="15.75" thickBot="1" x14ac:dyDescent="0.3">
      <c r="A43" s="47" t="s">
        <v>114</v>
      </c>
      <c r="B43" s="47"/>
      <c r="C43" s="47"/>
      <c r="D43" s="47"/>
      <c r="E43" s="47"/>
      <c r="F43" s="47"/>
      <c r="G43" s="47"/>
      <c r="H43" s="47"/>
      <c r="I43" s="47"/>
    </row>
    <row r="44" spans="1:9" ht="15.75" thickBot="1" x14ac:dyDescent="0.3">
      <c r="A44" s="48" t="s">
        <v>95</v>
      </c>
      <c r="B44" s="49"/>
      <c r="C44" s="49"/>
      <c r="D44" s="49"/>
      <c r="E44" s="49"/>
      <c r="F44" s="49"/>
      <c r="G44" s="49"/>
      <c r="H44" s="49"/>
      <c r="I44" s="15"/>
    </row>
    <row r="45" spans="1:9" x14ac:dyDescent="0.25">
      <c r="A45" s="50" t="s">
        <v>91</v>
      </c>
      <c r="B45" s="612" t="s">
        <v>109</v>
      </c>
      <c r="C45" s="611" t="s">
        <v>6</v>
      </c>
      <c r="D45" s="610" t="s">
        <v>85</v>
      </c>
      <c r="E45" s="610" t="s">
        <v>90</v>
      </c>
      <c r="F45" s="4"/>
      <c r="G45" s="4"/>
      <c r="H45" s="4"/>
      <c r="I45" s="51"/>
    </row>
    <row r="46" spans="1:9" ht="15.75" thickBot="1" x14ac:dyDescent="0.3">
      <c r="A46" s="52"/>
      <c r="B46" s="613"/>
      <c r="C46" s="611"/>
      <c r="D46" s="610"/>
      <c r="E46" s="610"/>
      <c r="F46" s="4"/>
      <c r="G46" s="4"/>
      <c r="H46" s="53" t="s">
        <v>7</v>
      </c>
      <c r="I46" s="51"/>
    </row>
    <row r="47" spans="1:9" x14ac:dyDescent="0.25">
      <c r="A47" s="52"/>
      <c r="B47" s="4" t="s">
        <v>2</v>
      </c>
      <c r="C47" s="4">
        <f>$C$10</f>
        <v>0</v>
      </c>
      <c r="D47" s="4">
        <f>$D$10</f>
        <v>0</v>
      </c>
      <c r="E47" s="4">
        <f>C47*D47</f>
        <v>0</v>
      </c>
      <c r="F47" s="4"/>
      <c r="G47" s="4"/>
      <c r="H47" s="4">
        <f>C47+C48+C49</f>
        <v>0</v>
      </c>
      <c r="I47" s="51" t="s">
        <v>6</v>
      </c>
    </row>
    <row r="48" spans="1:9" ht="15" customHeight="1" x14ac:dyDescent="0.25">
      <c r="A48" s="52"/>
      <c r="B48" s="4" t="s">
        <v>3</v>
      </c>
      <c r="C48" s="4">
        <f>$C$11</f>
        <v>0</v>
      </c>
      <c r="D48" s="4">
        <f>$D$11</f>
        <v>0</v>
      </c>
      <c r="E48" s="4">
        <f>C48*D48</f>
        <v>0</v>
      </c>
      <c r="F48" s="4"/>
      <c r="G48" s="4"/>
      <c r="H48" s="54" t="e">
        <f>$H47/$C$6</f>
        <v>#DIV/0!</v>
      </c>
      <c r="I48" s="51" t="s">
        <v>108</v>
      </c>
    </row>
    <row r="49" spans="1:9" x14ac:dyDescent="0.25">
      <c r="A49" s="52"/>
      <c r="B49" s="4" t="s">
        <v>4</v>
      </c>
      <c r="C49" s="4">
        <f>$C$12</f>
        <v>0</v>
      </c>
      <c r="D49" s="4">
        <f>$D$12</f>
        <v>104</v>
      </c>
      <c r="E49" s="4">
        <f>C49*D49</f>
        <v>0</v>
      </c>
      <c r="F49" s="4"/>
      <c r="G49" s="4"/>
      <c r="H49" s="54"/>
      <c r="I49" s="51"/>
    </row>
    <row r="50" spans="1:9" x14ac:dyDescent="0.25">
      <c r="A50" s="52"/>
      <c r="B50" s="4" t="s">
        <v>5</v>
      </c>
      <c r="C50" s="4">
        <f>$C$13</f>
        <v>0</v>
      </c>
      <c r="D50" s="4">
        <f>$D$13</f>
        <v>261</v>
      </c>
      <c r="E50" s="4">
        <f>C50*D50</f>
        <v>0</v>
      </c>
      <c r="F50" s="4"/>
      <c r="G50" s="4"/>
      <c r="H50" s="4"/>
      <c r="I50" s="51"/>
    </row>
    <row r="51" spans="1:9" x14ac:dyDescent="0.25">
      <c r="A51" s="52"/>
      <c r="B51" s="4"/>
      <c r="C51" s="4"/>
      <c r="D51" s="4"/>
      <c r="E51" s="4">
        <f>SUM(E47:E50)</f>
        <v>0</v>
      </c>
      <c r="F51" s="4" t="s">
        <v>107</v>
      </c>
      <c r="G51" s="4"/>
      <c r="H51" s="4"/>
      <c r="I51" s="51"/>
    </row>
    <row r="52" spans="1:9" ht="15.75" thickBot="1" x14ac:dyDescent="0.3">
      <c r="A52" s="14"/>
      <c r="B52" s="55"/>
      <c r="C52" s="55"/>
      <c r="D52" s="55"/>
      <c r="E52" s="56" t="e">
        <f>$E51/365/$C$6</f>
        <v>#DIV/0!</v>
      </c>
      <c r="F52" s="55" t="s">
        <v>108</v>
      </c>
      <c r="G52" s="55"/>
      <c r="H52" s="55"/>
      <c r="I52" s="16"/>
    </row>
    <row r="53" spans="1:9" ht="15.75" thickBot="1" x14ac:dyDescent="0.3"/>
    <row r="54" spans="1:9" ht="15.75" thickBot="1" x14ac:dyDescent="0.3">
      <c r="A54" s="48" t="s">
        <v>96</v>
      </c>
      <c r="B54" s="49"/>
      <c r="C54" s="49"/>
      <c r="D54" s="49"/>
      <c r="E54" s="49"/>
      <c r="F54" s="49"/>
      <c r="G54" s="49"/>
      <c r="H54" s="49"/>
      <c r="I54" s="15"/>
    </row>
    <row r="55" spans="1:9" ht="15" customHeight="1" x14ac:dyDescent="0.25">
      <c r="A55" s="50" t="s">
        <v>92</v>
      </c>
      <c r="B55" s="612" t="s">
        <v>109</v>
      </c>
      <c r="C55" s="611" t="s">
        <v>6</v>
      </c>
      <c r="D55" s="610" t="s">
        <v>85</v>
      </c>
      <c r="E55" s="610" t="s">
        <v>90</v>
      </c>
      <c r="F55" s="4"/>
      <c r="G55" s="4"/>
      <c r="H55" s="4"/>
      <c r="I55" s="51"/>
    </row>
    <row r="56" spans="1:9" ht="15.75" thickBot="1" x14ac:dyDescent="0.3">
      <c r="A56" s="52"/>
      <c r="B56" s="613"/>
      <c r="C56" s="611"/>
      <c r="D56" s="610"/>
      <c r="E56" s="610"/>
      <c r="F56" s="4"/>
      <c r="G56" s="4"/>
      <c r="H56" s="53" t="s">
        <v>7</v>
      </c>
      <c r="I56" s="51"/>
    </row>
    <row r="57" spans="1:9" x14ac:dyDescent="0.25">
      <c r="A57" s="52"/>
      <c r="B57" s="4" t="s">
        <v>2</v>
      </c>
      <c r="C57" s="4">
        <f>$C$10</f>
        <v>0</v>
      </c>
      <c r="D57" s="4">
        <f>$D$10</f>
        <v>0</v>
      </c>
      <c r="E57" s="4">
        <f>C57*D57</f>
        <v>0</v>
      </c>
      <c r="F57" s="4"/>
      <c r="G57" s="4"/>
      <c r="H57" s="4">
        <f>MAX(SUM(C58+C59),C57)</f>
        <v>0</v>
      </c>
      <c r="I57" s="51" t="s">
        <v>6</v>
      </c>
    </row>
    <row r="58" spans="1:9" x14ac:dyDescent="0.25">
      <c r="A58" s="52"/>
      <c r="B58" s="4" t="s">
        <v>3</v>
      </c>
      <c r="C58" s="4">
        <f>$C$11</f>
        <v>0</v>
      </c>
      <c r="D58" s="4">
        <f>$D$11</f>
        <v>0</v>
      </c>
      <c r="E58" s="4">
        <f>C58*D58</f>
        <v>0</v>
      </c>
      <c r="F58" s="4"/>
      <c r="G58" s="4"/>
      <c r="H58" s="54" t="e">
        <f>$H57/$C$6</f>
        <v>#DIV/0!</v>
      </c>
      <c r="I58" s="51" t="s">
        <v>108</v>
      </c>
    </row>
    <row r="59" spans="1:9" x14ac:dyDescent="0.25">
      <c r="A59" s="52"/>
      <c r="B59" s="4" t="s">
        <v>4</v>
      </c>
      <c r="C59" s="4">
        <f>$C$12</f>
        <v>0</v>
      </c>
      <c r="D59" s="4">
        <f>$D$12</f>
        <v>104</v>
      </c>
      <c r="E59" s="4">
        <f>C59*D59</f>
        <v>0</v>
      </c>
      <c r="F59" s="4"/>
      <c r="G59" s="4"/>
      <c r="H59" s="4"/>
      <c r="I59" s="51"/>
    </row>
    <row r="60" spans="1:9" x14ac:dyDescent="0.25">
      <c r="A60" s="52"/>
      <c r="B60" s="4" t="s">
        <v>5</v>
      </c>
      <c r="C60" s="4">
        <f>$C$13</f>
        <v>0</v>
      </c>
      <c r="D60" s="4">
        <f>$D$13-$D$57</f>
        <v>261</v>
      </c>
      <c r="E60" s="4">
        <f>C60*D60</f>
        <v>0</v>
      </c>
      <c r="F60" s="4"/>
      <c r="G60" s="4"/>
      <c r="H60" s="4"/>
      <c r="I60" s="51"/>
    </row>
    <row r="61" spans="1:9" x14ac:dyDescent="0.25">
      <c r="A61" s="52"/>
      <c r="B61" s="4"/>
      <c r="C61" s="4"/>
      <c r="D61" s="4"/>
      <c r="E61" s="4">
        <f>SUM(E57:E60)</f>
        <v>0</v>
      </c>
      <c r="F61" s="4" t="s">
        <v>107</v>
      </c>
      <c r="G61" s="4"/>
      <c r="H61" s="4"/>
      <c r="I61" s="51"/>
    </row>
    <row r="62" spans="1:9" ht="15.75" thickBot="1" x14ac:dyDescent="0.3">
      <c r="A62" s="14"/>
      <c r="B62" s="55"/>
      <c r="C62" s="55"/>
      <c r="D62" s="55"/>
      <c r="E62" s="56" t="e">
        <f>$E61/365/$C$6</f>
        <v>#DIV/0!</v>
      </c>
      <c r="F62" s="55" t="s">
        <v>108</v>
      </c>
      <c r="G62" s="55"/>
      <c r="H62" s="55"/>
      <c r="I62" s="16"/>
    </row>
    <row r="63" spans="1:9" ht="15.75" thickBot="1" x14ac:dyDescent="0.3"/>
    <row r="64" spans="1:9" ht="15.75" thickBot="1" x14ac:dyDescent="0.3">
      <c r="A64" s="48" t="s">
        <v>99</v>
      </c>
      <c r="B64" s="49"/>
      <c r="C64" s="49"/>
      <c r="D64" s="49"/>
      <c r="E64" s="49"/>
      <c r="F64" s="49"/>
      <c r="G64" s="49"/>
      <c r="H64" s="49"/>
      <c r="I64" s="15"/>
    </row>
    <row r="65" spans="1:9" x14ac:dyDescent="0.25">
      <c r="A65" s="50" t="s">
        <v>97</v>
      </c>
      <c r="B65" s="612" t="s">
        <v>109</v>
      </c>
      <c r="C65" s="611" t="s">
        <v>6</v>
      </c>
      <c r="D65" s="610" t="s">
        <v>85</v>
      </c>
      <c r="E65" s="610" t="s">
        <v>90</v>
      </c>
      <c r="F65" s="4"/>
      <c r="G65" s="4"/>
      <c r="H65" s="4"/>
      <c r="I65" s="51"/>
    </row>
    <row r="66" spans="1:9" ht="15.75" thickBot="1" x14ac:dyDescent="0.3">
      <c r="A66" s="52"/>
      <c r="B66" s="613"/>
      <c r="C66" s="611"/>
      <c r="D66" s="610"/>
      <c r="E66" s="610"/>
      <c r="F66" s="4"/>
      <c r="G66" s="4"/>
      <c r="H66" s="53" t="s">
        <v>7</v>
      </c>
      <c r="I66" s="51"/>
    </row>
    <row r="67" spans="1:9" x14ac:dyDescent="0.25">
      <c r="A67" s="52"/>
      <c r="B67" s="4" t="s">
        <v>2</v>
      </c>
      <c r="C67" s="4">
        <f>$C$10</f>
        <v>0</v>
      </c>
      <c r="D67" s="4">
        <f>$D$10</f>
        <v>0</v>
      </c>
      <c r="E67" s="4">
        <f>C67*D67</f>
        <v>0</v>
      </c>
      <c r="F67" s="4"/>
      <c r="G67" s="4"/>
      <c r="H67" s="4">
        <f>MAX(SUM(C67+C69),C68)</f>
        <v>0</v>
      </c>
      <c r="I67" s="51" t="s">
        <v>6</v>
      </c>
    </row>
    <row r="68" spans="1:9" x14ac:dyDescent="0.25">
      <c r="A68" s="52"/>
      <c r="B68" s="4" t="s">
        <v>3</v>
      </c>
      <c r="C68" s="4">
        <f>$C$11</f>
        <v>0</v>
      </c>
      <c r="D68" s="4">
        <f>$D$11</f>
        <v>0</v>
      </c>
      <c r="E68" s="4">
        <f>C68*D68</f>
        <v>0</v>
      </c>
      <c r="F68" s="4"/>
      <c r="G68" s="4"/>
      <c r="H68" s="54" t="e">
        <f>$H67/$C$6</f>
        <v>#DIV/0!</v>
      </c>
      <c r="I68" s="51" t="s">
        <v>108</v>
      </c>
    </row>
    <row r="69" spans="1:9" x14ac:dyDescent="0.25">
      <c r="A69" s="52"/>
      <c r="B69" s="4" t="s">
        <v>4</v>
      </c>
      <c r="C69" s="4">
        <f>$C$12</f>
        <v>0</v>
      </c>
      <c r="D69" s="4">
        <f>$D$12</f>
        <v>104</v>
      </c>
      <c r="E69" s="4">
        <f>C69*D69</f>
        <v>0</v>
      </c>
      <c r="F69" s="4"/>
      <c r="G69" s="4"/>
      <c r="H69" s="4"/>
      <c r="I69" s="51"/>
    </row>
    <row r="70" spans="1:9" x14ac:dyDescent="0.25">
      <c r="A70" s="52"/>
      <c r="B70" s="4" t="s">
        <v>5</v>
      </c>
      <c r="C70" s="4">
        <f>$C$13</f>
        <v>0</v>
      </c>
      <c r="D70" s="4">
        <f>$D$13-D68</f>
        <v>261</v>
      </c>
      <c r="E70" s="4">
        <f>C70*D70</f>
        <v>0</v>
      </c>
      <c r="F70" s="4"/>
      <c r="G70" s="4"/>
      <c r="H70" s="4"/>
      <c r="I70" s="51"/>
    </row>
    <row r="71" spans="1:9" x14ac:dyDescent="0.25">
      <c r="A71" s="52"/>
      <c r="B71" s="4"/>
      <c r="C71" s="4"/>
      <c r="D71" s="4"/>
      <c r="E71" s="4">
        <f>SUM(E67:E70)</f>
        <v>0</v>
      </c>
      <c r="F71" s="4" t="s">
        <v>107</v>
      </c>
      <c r="G71" s="4"/>
      <c r="H71" s="4"/>
      <c r="I71" s="51"/>
    </row>
    <row r="72" spans="1:9" ht="15.75" thickBot="1" x14ac:dyDescent="0.3">
      <c r="A72" s="14"/>
      <c r="B72" s="55"/>
      <c r="C72" s="55"/>
      <c r="D72" s="55"/>
      <c r="E72" s="56" t="e">
        <f>$E71/365/$C$6</f>
        <v>#DIV/0!</v>
      </c>
      <c r="F72" s="55" t="s">
        <v>108</v>
      </c>
      <c r="G72" s="55"/>
      <c r="H72" s="55"/>
      <c r="I72" s="16"/>
    </row>
    <row r="73" spans="1:9" ht="15.75" thickBot="1" x14ac:dyDescent="0.3"/>
    <row r="74" spans="1:9" ht="15.75" thickBot="1" x14ac:dyDescent="0.3">
      <c r="A74" s="48" t="s">
        <v>101</v>
      </c>
      <c r="B74" s="49"/>
      <c r="C74" s="49"/>
      <c r="D74" s="49"/>
      <c r="E74" s="49"/>
      <c r="F74" s="49"/>
      <c r="G74" s="49"/>
      <c r="H74" s="49"/>
      <c r="I74" s="15"/>
    </row>
    <row r="75" spans="1:9" x14ac:dyDescent="0.25">
      <c r="A75" s="50" t="s">
        <v>100</v>
      </c>
      <c r="B75" s="612" t="s">
        <v>109</v>
      </c>
      <c r="C75" s="611" t="s">
        <v>6</v>
      </c>
      <c r="D75" s="610" t="s">
        <v>85</v>
      </c>
      <c r="E75" s="610" t="s">
        <v>90</v>
      </c>
      <c r="F75" s="4"/>
      <c r="G75" s="4"/>
      <c r="H75" s="4"/>
      <c r="I75" s="51"/>
    </row>
    <row r="76" spans="1:9" ht="15.75" thickBot="1" x14ac:dyDescent="0.3">
      <c r="A76" s="52"/>
      <c r="B76" s="613"/>
      <c r="C76" s="611"/>
      <c r="D76" s="610"/>
      <c r="E76" s="610"/>
      <c r="F76" s="4"/>
      <c r="G76" s="4"/>
      <c r="H76" s="53" t="s">
        <v>7</v>
      </c>
      <c r="I76" s="51"/>
    </row>
    <row r="77" spans="1:9" x14ac:dyDescent="0.25">
      <c r="A77" s="52"/>
      <c r="B77" s="4" t="s">
        <v>2</v>
      </c>
      <c r="C77" s="4">
        <f>$C$10</f>
        <v>0</v>
      </c>
      <c r="D77" s="4">
        <f>$D$10</f>
        <v>0</v>
      </c>
      <c r="E77" s="4">
        <f>C77*D77</f>
        <v>0</v>
      </c>
      <c r="F77" s="4"/>
      <c r="G77" s="4"/>
      <c r="H77" s="4">
        <f>MAX(SUM(C77+C79),SUM(C78+C79))</f>
        <v>0</v>
      </c>
      <c r="I77" s="51" t="s">
        <v>6</v>
      </c>
    </row>
    <row r="78" spans="1:9" x14ac:dyDescent="0.25">
      <c r="A78" s="52"/>
      <c r="B78" s="4" t="s">
        <v>3</v>
      </c>
      <c r="C78" s="4">
        <f>$C$11</f>
        <v>0</v>
      </c>
      <c r="D78" s="4">
        <f>$D$11</f>
        <v>0</v>
      </c>
      <c r="E78" s="4">
        <f>C78*D78</f>
        <v>0</v>
      </c>
      <c r="F78" s="4"/>
      <c r="G78" s="4"/>
      <c r="H78" s="54" t="e">
        <f>$H77/$C$6</f>
        <v>#DIV/0!</v>
      </c>
      <c r="I78" s="51" t="s">
        <v>108</v>
      </c>
    </row>
    <row r="79" spans="1:9" x14ac:dyDescent="0.25">
      <c r="A79" s="52"/>
      <c r="B79" s="4" t="s">
        <v>4</v>
      </c>
      <c r="C79" s="4">
        <f>$C$12</f>
        <v>0</v>
      </c>
      <c r="D79" s="4">
        <f>$D$12</f>
        <v>104</v>
      </c>
      <c r="E79" s="4">
        <f>C79*D79</f>
        <v>0</v>
      </c>
      <c r="F79" s="4"/>
      <c r="G79" s="4"/>
      <c r="H79" s="4"/>
      <c r="I79" s="51"/>
    </row>
    <row r="80" spans="1:9" x14ac:dyDescent="0.25">
      <c r="A80" s="52"/>
      <c r="B80" s="4" t="s">
        <v>5</v>
      </c>
      <c r="C80" s="4">
        <f>$C$13</f>
        <v>0</v>
      </c>
      <c r="D80" s="4">
        <f>$D$13</f>
        <v>261</v>
      </c>
      <c r="E80" s="4">
        <f>C80*D80</f>
        <v>0</v>
      </c>
      <c r="F80" s="4"/>
      <c r="G80" s="4"/>
      <c r="H80" s="4"/>
      <c r="I80" s="51"/>
    </row>
    <row r="81" spans="1:9" x14ac:dyDescent="0.25">
      <c r="A81" s="52"/>
      <c r="B81" s="4"/>
      <c r="C81" s="4"/>
      <c r="D81" s="4"/>
      <c r="E81" s="4">
        <f>SUM(E77:E80)</f>
        <v>0</v>
      </c>
      <c r="F81" s="4" t="s">
        <v>107</v>
      </c>
      <c r="G81" s="4"/>
      <c r="H81" s="4"/>
      <c r="I81" s="51"/>
    </row>
    <row r="82" spans="1:9" ht="15.75" thickBot="1" x14ac:dyDescent="0.3">
      <c r="A82" s="14"/>
      <c r="B82" s="55"/>
      <c r="C82" s="55"/>
      <c r="D82" s="55"/>
      <c r="E82" s="56" t="e">
        <f>$E81/365/$C$6</f>
        <v>#DIV/0!</v>
      </c>
      <c r="F82" s="55" t="s">
        <v>108</v>
      </c>
      <c r="G82" s="55"/>
      <c r="H82" s="55"/>
      <c r="I82" s="16"/>
    </row>
    <row r="83" spans="1:9" ht="15.75" thickBot="1" x14ac:dyDescent="0.3"/>
    <row r="84" spans="1:9" ht="15.75" thickBot="1" x14ac:dyDescent="0.3">
      <c r="A84" s="48" t="s">
        <v>98</v>
      </c>
      <c r="B84" s="49"/>
      <c r="C84" s="49"/>
      <c r="D84" s="49"/>
      <c r="E84" s="49"/>
      <c r="F84" s="49"/>
      <c r="G84" s="49"/>
      <c r="H84" s="49"/>
      <c r="I84" s="15"/>
    </row>
    <row r="85" spans="1:9" x14ac:dyDescent="0.25">
      <c r="A85" s="50" t="s">
        <v>102</v>
      </c>
      <c r="B85" s="612" t="s">
        <v>109</v>
      </c>
      <c r="C85" s="611" t="s">
        <v>6</v>
      </c>
      <c r="D85" s="610" t="s">
        <v>85</v>
      </c>
      <c r="E85" s="610" t="s">
        <v>90</v>
      </c>
      <c r="F85" s="4"/>
      <c r="G85" s="4"/>
      <c r="H85" s="4"/>
      <c r="I85" s="51"/>
    </row>
    <row r="86" spans="1:9" ht="15.75" thickBot="1" x14ac:dyDescent="0.3">
      <c r="A86" s="52"/>
      <c r="B86" s="613"/>
      <c r="C86" s="611"/>
      <c r="D86" s="610"/>
      <c r="E86" s="610"/>
      <c r="F86" s="4"/>
      <c r="G86" s="4"/>
      <c r="H86" s="53" t="s">
        <v>7</v>
      </c>
      <c r="I86" s="51"/>
    </row>
    <row r="87" spans="1:9" x14ac:dyDescent="0.25">
      <c r="A87" s="52"/>
      <c r="B87" s="4" t="s">
        <v>2</v>
      </c>
      <c r="C87" s="4">
        <f>$C$10</f>
        <v>0</v>
      </c>
      <c r="D87" s="4">
        <f>$D$10</f>
        <v>0</v>
      </c>
      <c r="E87" s="4">
        <f>C87*D87</f>
        <v>0</v>
      </c>
      <c r="F87" s="4"/>
      <c r="G87" s="4"/>
      <c r="H87" s="4">
        <f>MAX(C87,C88,C89)</f>
        <v>0</v>
      </c>
      <c r="I87" s="51" t="s">
        <v>6</v>
      </c>
    </row>
    <row r="88" spans="1:9" x14ac:dyDescent="0.25">
      <c r="A88" s="52"/>
      <c r="B88" s="4" t="s">
        <v>3</v>
      </c>
      <c r="C88" s="4">
        <f>$C$11</f>
        <v>0</v>
      </c>
      <c r="D88" s="4">
        <f>$D$11</f>
        <v>0</v>
      </c>
      <c r="E88" s="4">
        <f>C88*D88</f>
        <v>0</v>
      </c>
      <c r="F88" s="4"/>
      <c r="G88" s="4"/>
      <c r="H88" s="54" t="e">
        <f>$H87/$C$6</f>
        <v>#DIV/0!</v>
      </c>
      <c r="I88" s="51" t="s">
        <v>108</v>
      </c>
    </row>
    <row r="89" spans="1:9" x14ac:dyDescent="0.25">
      <c r="A89" s="52"/>
      <c r="B89" s="4" t="s">
        <v>4</v>
      </c>
      <c r="C89" s="4">
        <f>$C$12</f>
        <v>0</v>
      </c>
      <c r="D89" s="4">
        <f>$D$12</f>
        <v>104</v>
      </c>
      <c r="E89" s="4">
        <f>C89*D89</f>
        <v>0</v>
      </c>
      <c r="F89" s="4"/>
      <c r="G89" s="4"/>
      <c r="H89" s="4"/>
      <c r="I89" s="51"/>
    </row>
    <row r="90" spans="1:9" x14ac:dyDescent="0.25">
      <c r="A90" s="52"/>
      <c r="B90" s="4" t="s">
        <v>5</v>
      </c>
      <c r="C90" s="4">
        <f>$C$13</f>
        <v>0</v>
      </c>
      <c r="D90" s="4">
        <f>$D$13-D87-D88</f>
        <v>261</v>
      </c>
      <c r="E90" s="4">
        <f>C90*D90</f>
        <v>0</v>
      </c>
      <c r="F90" s="4"/>
      <c r="G90" s="4"/>
      <c r="H90" s="4"/>
      <c r="I90" s="51"/>
    </row>
    <row r="91" spans="1:9" x14ac:dyDescent="0.25">
      <c r="A91" s="52"/>
      <c r="B91" s="4"/>
      <c r="C91" s="4"/>
      <c r="D91" s="4"/>
      <c r="E91" s="4">
        <f>SUM(E87:E90)</f>
        <v>0</v>
      </c>
      <c r="F91" s="4" t="s">
        <v>107</v>
      </c>
      <c r="G91" s="4"/>
      <c r="H91" s="4"/>
      <c r="I91" s="51"/>
    </row>
    <row r="92" spans="1:9" ht="15.75" thickBot="1" x14ac:dyDescent="0.3">
      <c r="A92" s="14"/>
      <c r="B92" s="55"/>
      <c r="C92" s="55"/>
      <c r="D92" s="55"/>
      <c r="E92" s="56" t="e">
        <f>$E91/365/$C$6</f>
        <v>#DIV/0!</v>
      </c>
      <c r="F92" s="55" t="s">
        <v>108</v>
      </c>
      <c r="G92" s="55"/>
      <c r="H92" s="55"/>
      <c r="I92" s="16"/>
    </row>
    <row r="96" spans="1:9" x14ac:dyDescent="0.25">
      <c r="B96" s="62" t="s">
        <v>86</v>
      </c>
    </row>
    <row r="97" spans="2:7" ht="15.75" thickBot="1" x14ac:dyDescent="0.3"/>
    <row r="98" spans="2:7" x14ac:dyDescent="0.25">
      <c r="B98" s="66" t="s">
        <v>89</v>
      </c>
      <c r="C98" s="63" t="s">
        <v>6</v>
      </c>
    </row>
    <row r="99" spans="2:7" x14ac:dyDescent="0.25">
      <c r="B99" s="33" t="s">
        <v>88</v>
      </c>
      <c r="C99" s="64">
        <f>52*2</f>
        <v>104</v>
      </c>
    </row>
    <row r="100" spans="2:7" x14ac:dyDescent="0.25">
      <c r="B100" s="33" t="s">
        <v>87</v>
      </c>
      <c r="C100" s="64">
        <f>365-C99</f>
        <v>261</v>
      </c>
    </row>
    <row r="101" spans="2:7" ht="15.75" thickBot="1" x14ac:dyDescent="0.3">
      <c r="B101" s="34" t="s">
        <v>118</v>
      </c>
      <c r="C101" s="65">
        <f>C99+C100</f>
        <v>365</v>
      </c>
    </row>
    <row r="103" spans="2:7" ht="15.75" thickBot="1" x14ac:dyDescent="0.3">
      <c r="B103" s="67" t="s">
        <v>119</v>
      </c>
    </row>
    <row r="104" spans="2:7" ht="15.75" thickBot="1" x14ac:dyDescent="0.3">
      <c r="B104" s="27" t="s">
        <v>91</v>
      </c>
      <c r="C104" t="s">
        <v>95</v>
      </c>
    </row>
    <row r="105" spans="2:7" ht="15.75" thickBot="1" x14ac:dyDescent="0.3">
      <c r="B105" s="27" t="s">
        <v>92</v>
      </c>
      <c r="C105" t="s">
        <v>96</v>
      </c>
    </row>
    <row r="106" spans="2:7" ht="15.75" thickBot="1" x14ac:dyDescent="0.3">
      <c r="B106" s="27" t="s">
        <v>97</v>
      </c>
      <c r="C106" t="s">
        <v>99</v>
      </c>
    </row>
    <row r="107" spans="2:7" ht="15.75" thickBot="1" x14ac:dyDescent="0.3">
      <c r="B107" s="27" t="s">
        <v>100</v>
      </c>
      <c r="C107" t="s">
        <v>101</v>
      </c>
    </row>
    <row r="108" spans="2:7" ht="15.75" thickBot="1" x14ac:dyDescent="0.3">
      <c r="B108" s="27" t="s">
        <v>102</v>
      </c>
      <c r="C108" t="s">
        <v>98</v>
      </c>
    </row>
    <row r="109" spans="2:7" x14ac:dyDescent="0.25">
      <c r="B109" s="23"/>
    </row>
    <row r="110" spans="2:7" ht="15.75" thickBot="1" x14ac:dyDescent="0.3">
      <c r="B110" s="67" t="s">
        <v>120</v>
      </c>
    </row>
    <row r="111" spans="2:7" ht="15.75" thickBot="1" x14ac:dyDescent="0.3">
      <c r="C111" s="28">
        <v>1</v>
      </c>
      <c r="D111" s="27">
        <v>2</v>
      </c>
      <c r="E111" s="27">
        <v>3</v>
      </c>
      <c r="F111" s="27" t="s">
        <v>104</v>
      </c>
      <c r="G111" s="27" t="s">
        <v>105</v>
      </c>
    </row>
    <row r="112" spans="2:7" ht="15.75" thickBot="1" x14ac:dyDescent="0.3">
      <c r="C112" s="24" t="str">
        <f>$H$16</f>
        <v>Yes</v>
      </c>
      <c r="D112" s="25" t="str">
        <f>$H$17</f>
        <v>Yes</v>
      </c>
      <c r="E112" s="26" t="str">
        <f>$H$18</f>
        <v>Yes</v>
      </c>
      <c r="F112" s="30" t="str">
        <f t="shared" ref="F112:F118" si="1">C112&amp;D112&amp;E112</f>
        <v>YesYesYes</v>
      </c>
      <c r="G112" s="29" t="str">
        <f>VLOOKUP(F112,F114:G118,2,FALSE)</f>
        <v>A</v>
      </c>
    </row>
    <row r="113" spans="2:7" ht="15.75" thickBot="1" x14ac:dyDescent="0.3">
      <c r="F113" t="str">
        <f t="shared" si="1"/>
        <v/>
      </c>
    </row>
    <row r="114" spans="2:7" ht="15.75" thickBot="1" x14ac:dyDescent="0.3">
      <c r="B114" s="27" t="s">
        <v>91</v>
      </c>
      <c r="C114" s="27" t="s">
        <v>9</v>
      </c>
      <c r="D114" s="27" t="s">
        <v>9</v>
      </c>
      <c r="E114" s="27" t="s">
        <v>9</v>
      </c>
      <c r="F114" s="27" t="str">
        <f t="shared" si="1"/>
        <v>YesYesYes</v>
      </c>
      <c r="G114" s="27" t="s">
        <v>91</v>
      </c>
    </row>
    <row r="115" spans="2:7" ht="15.75" thickBot="1" x14ac:dyDescent="0.3">
      <c r="B115" s="27" t="s">
        <v>92</v>
      </c>
      <c r="C115" s="27" t="s">
        <v>9</v>
      </c>
      <c r="D115" s="27" t="s">
        <v>10</v>
      </c>
      <c r="E115" s="27" t="s">
        <v>10</v>
      </c>
      <c r="F115" s="27" t="str">
        <f t="shared" si="1"/>
        <v>YesNoNo</v>
      </c>
      <c r="G115" s="27" t="s">
        <v>92</v>
      </c>
    </row>
    <row r="116" spans="2:7" ht="15.75" thickBot="1" x14ac:dyDescent="0.3">
      <c r="B116" s="27" t="s">
        <v>97</v>
      </c>
      <c r="C116" s="27" t="s">
        <v>10</v>
      </c>
      <c r="D116" s="27" t="s">
        <v>9</v>
      </c>
      <c r="E116" s="27" t="s">
        <v>10</v>
      </c>
      <c r="F116" s="27" t="str">
        <f t="shared" si="1"/>
        <v>NoYesNo</v>
      </c>
      <c r="G116" s="27" t="s">
        <v>97</v>
      </c>
    </row>
    <row r="117" spans="2:7" ht="15.75" thickBot="1" x14ac:dyDescent="0.3">
      <c r="B117" s="27" t="s">
        <v>100</v>
      </c>
      <c r="C117" s="27" t="s">
        <v>9</v>
      </c>
      <c r="D117" s="27" t="s">
        <v>9</v>
      </c>
      <c r="E117" s="27" t="s">
        <v>10</v>
      </c>
      <c r="F117" s="27" t="str">
        <f t="shared" si="1"/>
        <v>YesYesNo</v>
      </c>
      <c r="G117" s="27" t="s">
        <v>100</v>
      </c>
    </row>
    <row r="118" spans="2:7" ht="15.75" thickBot="1" x14ac:dyDescent="0.3">
      <c r="B118" s="27" t="s">
        <v>102</v>
      </c>
      <c r="C118" s="27" t="s">
        <v>10</v>
      </c>
      <c r="D118" s="27" t="s">
        <v>10</v>
      </c>
      <c r="E118" s="27" t="s">
        <v>10</v>
      </c>
      <c r="F118" s="27" t="str">
        <f t="shared" si="1"/>
        <v>NoNoNo</v>
      </c>
      <c r="G118" s="27" t="s">
        <v>102</v>
      </c>
    </row>
    <row r="119" spans="2:7" x14ac:dyDescent="0.25">
      <c r="G119" t="s">
        <v>106</v>
      </c>
    </row>
    <row r="120" spans="2:7" x14ac:dyDescent="0.25">
      <c r="B120" t="s">
        <v>9</v>
      </c>
    </row>
    <row r="121" spans="2:7" x14ac:dyDescent="0.25">
      <c r="B121" t="s">
        <v>10</v>
      </c>
    </row>
  </sheetData>
  <sheetProtection algorithmName="SHA-512" hashValue="5Ib1aK68SBQIfjQAPTItr/5k/09KZihBaaj0h/uXYvoExCmDarWxQ0MUx9+wwu/YBazzjATRLEnb6HtoIbtTOg==" saltValue="u1irj0aM6rqlMChZN+E8iQ==" spinCount="100000" sheet="1" objects="1" scenarios="1"/>
  <mergeCells count="32">
    <mergeCell ref="B55:B56"/>
    <mergeCell ref="C55:C56"/>
    <mergeCell ref="D55:D56"/>
    <mergeCell ref="E55:E56"/>
    <mergeCell ref="B85:B86"/>
    <mergeCell ref="C85:C86"/>
    <mergeCell ref="D85:D86"/>
    <mergeCell ref="E85:E86"/>
    <mergeCell ref="B65:B66"/>
    <mergeCell ref="C65:C66"/>
    <mergeCell ref="D65:D66"/>
    <mergeCell ref="E65:E66"/>
    <mergeCell ref="B75:B76"/>
    <mergeCell ref="C75:C76"/>
    <mergeCell ref="D75:D76"/>
    <mergeCell ref="E75:E76"/>
    <mergeCell ref="B8:B9"/>
    <mergeCell ref="C8:C9"/>
    <mergeCell ref="D8:D9"/>
    <mergeCell ref="B16:G16"/>
    <mergeCell ref="B17:G17"/>
    <mergeCell ref="B18:G18"/>
    <mergeCell ref="B15:H15"/>
    <mergeCell ref="D45:D46"/>
    <mergeCell ref="C45:C46"/>
    <mergeCell ref="B45:B46"/>
    <mergeCell ref="E45:E46"/>
    <mergeCell ref="B29:B30"/>
    <mergeCell ref="C29:C30"/>
    <mergeCell ref="D29:D30"/>
    <mergeCell ref="E29:E30"/>
    <mergeCell ref="A42:I42"/>
  </mergeCells>
  <dataValidations count="1">
    <dataValidation type="list" allowBlank="1" showInputMessage="1" showErrorMessage="1" sqref="H16:H18 I16:K16 C114:E118">
      <formula1>YesNo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2:P44"/>
  <sheetViews>
    <sheetView topLeftCell="A16" zoomScaleNormal="100" workbookViewId="0">
      <selection activeCell="C11" sqref="C11"/>
    </sheetView>
  </sheetViews>
  <sheetFormatPr defaultRowHeight="15" x14ac:dyDescent="0.25"/>
  <cols>
    <col min="1" max="1" width="9" customWidth="1"/>
    <col min="2" max="2" width="34.85546875" customWidth="1"/>
    <col min="3" max="3" width="13" customWidth="1"/>
    <col min="4" max="4" width="15.85546875" customWidth="1"/>
    <col min="5" max="6" width="10.28515625" bestFit="1" customWidth="1"/>
    <col min="10" max="10" width="11.42578125" customWidth="1"/>
    <col min="11" max="11" width="25.5703125" customWidth="1"/>
    <col min="13" max="13" width="21" customWidth="1"/>
    <col min="14" max="14" width="15.7109375" customWidth="1"/>
  </cols>
  <sheetData>
    <row r="2" spans="1:16" ht="18.75" x14ac:dyDescent="0.3">
      <c r="A2" s="4"/>
      <c r="B2" s="293" t="s">
        <v>243</v>
      </c>
      <c r="C2" s="4"/>
      <c r="D2" s="4"/>
      <c r="E2" s="4"/>
    </row>
    <row r="3" spans="1:16" x14ac:dyDescent="0.25">
      <c r="A3" s="4"/>
      <c r="B3" s="77"/>
      <c r="C3" s="77"/>
      <c r="D3" s="77"/>
      <c r="E3" s="4"/>
      <c r="I3" s="23"/>
      <c r="J3" s="23"/>
      <c r="K3" s="23"/>
      <c r="L3" s="23"/>
      <c r="M3" s="23"/>
      <c r="N3" s="23"/>
      <c r="O3" s="23"/>
      <c r="P3" s="23"/>
    </row>
    <row r="4" spans="1:16" ht="15.75" thickBot="1" x14ac:dyDescent="0.3">
      <c r="A4" s="4"/>
      <c r="B4" s="1" t="s">
        <v>123</v>
      </c>
      <c r="C4" s="77"/>
      <c r="D4" s="77"/>
      <c r="E4" s="4"/>
      <c r="I4" s="23"/>
      <c r="J4" s="249"/>
      <c r="K4" s="249"/>
      <c r="L4" s="249"/>
      <c r="M4" s="249"/>
      <c r="N4" s="249"/>
      <c r="O4" s="249"/>
      <c r="P4" s="23"/>
    </row>
    <row r="5" spans="1:16" ht="15.75" thickBot="1" x14ac:dyDescent="0.3">
      <c r="A5" s="4"/>
      <c r="B5" s="68"/>
      <c r="C5" s="78" t="s">
        <v>13</v>
      </c>
      <c r="D5" s="79" t="s">
        <v>14</v>
      </c>
      <c r="E5" s="4"/>
      <c r="I5" s="23"/>
      <c r="J5" s="23"/>
      <c r="K5" s="249"/>
      <c r="L5" s="249"/>
      <c r="M5" s="249"/>
      <c r="N5" s="249"/>
      <c r="O5" s="249"/>
      <c r="P5" s="23"/>
    </row>
    <row r="6" spans="1:16" x14ac:dyDescent="0.25">
      <c r="A6" s="4"/>
      <c r="B6" s="566" t="s">
        <v>15</v>
      </c>
      <c r="C6" s="451">
        <f>'Project Data Input'!H13</f>
        <v>0</v>
      </c>
      <c r="D6" s="69" t="s">
        <v>17</v>
      </c>
      <c r="E6" s="4"/>
      <c r="I6" s="23"/>
      <c r="J6" s="23"/>
      <c r="K6" s="249"/>
      <c r="L6" s="249"/>
      <c r="M6" s="249"/>
      <c r="N6" s="249"/>
      <c r="O6" s="249"/>
      <c r="P6" s="23"/>
    </row>
    <row r="7" spans="1:16" ht="15.75" x14ac:dyDescent="0.25">
      <c r="A7" s="2"/>
      <c r="B7" s="567"/>
      <c r="C7" s="91">
        <f>C6*C25</f>
        <v>0</v>
      </c>
      <c r="D7" s="70" t="s">
        <v>16</v>
      </c>
      <c r="E7" s="4"/>
      <c r="I7" s="23"/>
      <c r="J7" s="23"/>
      <c r="K7" s="249"/>
      <c r="L7" s="249"/>
      <c r="M7" s="249"/>
      <c r="N7" s="249"/>
      <c r="O7" s="249"/>
      <c r="P7" s="23"/>
    </row>
    <row r="8" spans="1:16" x14ac:dyDescent="0.25">
      <c r="B8" s="568" t="s">
        <v>18</v>
      </c>
      <c r="C8" s="452">
        <f>'Project Data Input'!H15</f>
        <v>0</v>
      </c>
      <c r="D8" s="70" t="s">
        <v>17</v>
      </c>
      <c r="I8" s="23"/>
      <c r="J8" s="23"/>
      <c r="K8" s="250"/>
      <c r="L8" s="23"/>
      <c r="M8" s="23"/>
      <c r="N8" s="23"/>
      <c r="O8" s="23"/>
      <c r="P8" s="23"/>
    </row>
    <row r="9" spans="1:16" x14ac:dyDescent="0.25">
      <c r="B9" s="567"/>
      <c r="C9" s="91">
        <f>C8*C25</f>
        <v>0</v>
      </c>
      <c r="D9" s="70" t="s">
        <v>16</v>
      </c>
      <c r="E9" s="5"/>
      <c r="I9" s="23"/>
      <c r="J9" s="23"/>
      <c r="K9" s="23"/>
      <c r="L9" s="23"/>
      <c r="M9" s="23"/>
      <c r="N9" s="23"/>
      <c r="O9" s="23"/>
      <c r="P9" s="23"/>
    </row>
    <row r="10" spans="1:16" x14ac:dyDescent="0.25">
      <c r="A10" s="77"/>
      <c r="B10" s="80" t="s">
        <v>19</v>
      </c>
      <c r="C10" s="452">
        <f>'Project Data Input'!H17</f>
        <v>0</v>
      </c>
      <c r="D10" s="70" t="s">
        <v>20</v>
      </c>
      <c r="E10" s="77"/>
      <c r="F10" s="77"/>
      <c r="G10" s="77"/>
      <c r="I10" s="23"/>
      <c r="J10" s="23"/>
      <c r="K10" s="23"/>
      <c r="L10" s="23"/>
      <c r="M10" s="23"/>
      <c r="N10" s="23"/>
      <c r="O10" s="23"/>
      <c r="P10" s="23"/>
    </row>
    <row r="11" spans="1:16" x14ac:dyDescent="0.25">
      <c r="A11" s="89"/>
      <c r="B11" s="80" t="s">
        <v>21</v>
      </c>
      <c r="C11" s="452">
        <f>'Project Data Input'!H18</f>
        <v>0</v>
      </c>
      <c r="D11" s="70" t="s">
        <v>20</v>
      </c>
      <c r="E11" s="77"/>
      <c r="F11" s="77"/>
      <c r="G11" s="77"/>
    </row>
    <row r="12" spans="1:16" x14ac:dyDescent="0.25">
      <c r="A12" s="90"/>
      <c r="B12" s="80" t="s">
        <v>22</v>
      </c>
      <c r="C12" s="91">
        <f>C7*(C10/100)</f>
        <v>0</v>
      </c>
      <c r="D12" s="70" t="s">
        <v>23</v>
      </c>
      <c r="E12" s="77"/>
      <c r="F12" s="77"/>
      <c r="G12" s="77"/>
    </row>
    <row r="13" spans="1:16" ht="15.75" thickBot="1" x14ac:dyDescent="0.3">
      <c r="A13" s="90"/>
      <c r="B13" s="81" t="s">
        <v>24</v>
      </c>
      <c r="C13" s="94">
        <f>C9*(C11/100)</f>
        <v>0</v>
      </c>
      <c r="D13" s="71" t="s">
        <v>23</v>
      </c>
      <c r="E13" s="77"/>
      <c r="F13" s="77"/>
      <c r="G13" s="77"/>
    </row>
    <row r="14" spans="1:16" x14ac:dyDescent="0.25">
      <c r="A14" s="77"/>
      <c r="B14" s="77"/>
      <c r="C14" s="82"/>
      <c r="D14" s="83"/>
      <c r="E14" s="77"/>
      <c r="F14" s="77"/>
      <c r="G14" s="77"/>
    </row>
    <row r="15" spans="1:16" ht="15.75" thickBot="1" x14ac:dyDescent="0.3">
      <c r="A15" s="77"/>
      <c r="B15" s="67" t="s">
        <v>124</v>
      </c>
      <c r="C15" s="82"/>
      <c r="D15" s="83"/>
      <c r="E15" s="92"/>
      <c r="F15" s="93"/>
      <c r="G15" s="77"/>
    </row>
    <row r="16" spans="1:16" ht="15.75" thickBot="1" x14ac:dyDescent="0.3">
      <c r="A16" s="77"/>
      <c r="B16" s="84"/>
      <c r="C16" s="85" t="s">
        <v>13</v>
      </c>
      <c r="D16" s="86" t="s">
        <v>14</v>
      </c>
      <c r="E16" s="77"/>
      <c r="F16" s="77"/>
      <c r="G16" s="77"/>
    </row>
    <row r="17" spans="1:7" x14ac:dyDescent="0.25">
      <c r="A17" s="77"/>
      <c r="B17" s="72" t="s">
        <v>25</v>
      </c>
      <c r="C17" s="95">
        <f>C7*C26</f>
        <v>0</v>
      </c>
      <c r="D17" s="96" t="s">
        <v>23</v>
      </c>
      <c r="E17" s="77"/>
      <c r="F17" s="77"/>
      <c r="G17" s="77"/>
    </row>
    <row r="18" spans="1:7" x14ac:dyDescent="0.25">
      <c r="A18" s="77"/>
      <c r="B18" s="73" t="s">
        <v>26</v>
      </c>
      <c r="C18" s="98">
        <f>C9*C27</f>
        <v>0</v>
      </c>
      <c r="D18" s="75" t="s">
        <v>23</v>
      </c>
      <c r="E18" s="77"/>
      <c r="F18" s="77"/>
      <c r="G18" s="77"/>
    </row>
    <row r="19" spans="1:7" x14ac:dyDescent="0.25">
      <c r="A19" s="77"/>
      <c r="B19" s="73" t="s">
        <v>126</v>
      </c>
      <c r="C19" s="453">
        <f>'Project Data Input'!H26</f>
        <v>7</v>
      </c>
      <c r="D19" s="75" t="s">
        <v>27</v>
      </c>
      <c r="E19" s="77"/>
      <c r="F19" s="77"/>
      <c r="G19" s="77"/>
    </row>
    <row r="20" spans="1:7" x14ac:dyDescent="0.25">
      <c r="A20" s="77"/>
      <c r="B20" s="73" t="s">
        <v>127</v>
      </c>
      <c r="C20" s="453">
        <f>'Project Data Input'!H27</f>
        <v>15</v>
      </c>
      <c r="D20" s="75" t="s">
        <v>27</v>
      </c>
      <c r="E20" s="77"/>
      <c r="F20" s="77"/>
      <c r="G20" s="77"/>
    </row>
    <row r="21" spans="1:7" x14ac:dyDescent="0.25">
      <c r="A21" s="77"/>
      <c r="B21" s="73" t="s">
        <v>28</v>
      </c>
      <c r="C21" s="98">
        <f>C7*C28</f>
        <v>0</v>
      </c>
      <c r="D21" s="75" t="s">
        <v>23</v>
      </c>
      <c r="E21" s="77"/>
      <c r="F21" s="77"/>
      <c r="G21" s="77"/>
    </row>
    <row r="22" spans="1:7" ht="15.75" thickBot="1" x14ac:dyDescent="0.3">
      <c r="A22" s="77"/>
      <c r="B22" s="74" t="s">
        <v>29</v>
      </c>
      <c r="C22" s="101">
        <f>C9*C29</f>
        <v>0</v>
      </c>
      <c r="D22" s="76" t="s">
        <v>23</v>
      </c>
      <c r="E22" s="77"/>
      <c r="F22" s="77"/>
      <c r="G22" s="77"/>
    </row>
    <row r="23" spans="1:7" x14ac:dyDescent="0.25">
      <c r="A23" s="90"/>
      <c r="B23" s="77"/>
      <c r="C23" s="87"/>
      <c r="D23" s="77"/>
      <c r="E23" s="77"/>
      <c r="F23" s="77"/>
      <c r="G23" s="77"/>
    </row>
    <row r="24" spans="1:7" ht="15.75" thickBot="1" x14ac:dyDescent="0.3">
      <c r="A24" s="77"/>
      <c r="B24" s="1" t="s">
        <v>125</v>
      </c>
      <c r="D24" s="77"/>
      <c r="E24" s="97"/>
      <c r="F24" s="93"/>
      <c r="G24" s="77"/>
    </row>
    <row r="25" spans="1:7" x14ac:dyDescent="0.25">
      <c r="A25" s="77"/>
      <c r="B25" s="88" t="s">
        <v>30</v>
      </c>
      <c r="C25" s="104">
        <f>12*0.75/3.785412</f>
        <v>2.3775483355576621</v>
      </c>
      <c r="D25" s="83"/>
      <c r="E25" s="97"/>
      <c r="F25" s="93"/>
      <c r="G25" s="77"/>
    </row>
    <row r="26" spans="1:7" x14ac:dyDescent="0.25">
      <c r="A26" s="77"/>
      <c r="B26" s="102" t="s">
        <v>128</v>
      </c>
      <c r="C26" s="454">
        <f>'Project Data Input'!H33</f>
        <v>0.3</v>
      </c>
      <c r="D26" s="93"/>
      <c r="E26" s="99"/>
      <c r="F26" s="100"/>
      <c r="G26" s="77"/>
    </row>
    <row r="27" spans="1:7" x14ac:dyDescent="0.25">
      <c r="A27" s="77"/>
      <c r="B27" s="102" t="s">
        <v>129</v>
      </c>
      <c r="C27" s="454">
        <f>'Project Data Input'!H34</f>
        <v>0.3</v>
      </c>
      <c r="D27" s="93"/>
      <c r="E27" s="99"/>
      <c r="F27" s="100"/>
      <c r="G27" s="77"/>
    </row>
    <row r="28" spans="1:7" x14ac:dyDescent="0.25">
      <c r="A28" s="77"/>
      <c r="B28" s="102" t="s">
        <v>130</v>
      </c>
      <c r="C28" s="454">
        <f>'Project Data Input'!H35</f>
        <v>0.4</v>
      </c>
      <c r="D28" s="93"/>
      <c r="E28" s="77"/>
      <c r="F28" s="77"/>
      <c r="G28" s="77"/>
    </row>
    <row r="29" spans="1:7" ht="15.75" thickBot="1" x14ac:dyDescent="0.3">
      <c r="A29" s="77"/>
      <c r="B29" s="103" t="s">
        <v>131</v>
      </c>
      <c r="C29" s="455">
        <f>'Project Data Input'!H36</f>
        <v>0.25</v>
      </c>
      <c r="D29" s="93"/>
      <c r="E29" s="77"/>
      <c r="F29" s="77"/>
      <c r="G29" s="77"/>
    </row>
    <row r="30" spans="1:7" x14ac:dyDescent="0.25">
      <c r="A30" s="77"/>
      <c r="B30" s="77"/>
      <c r="C30" s="77"/>
      <c r="D30" s="77"/>
      <c r="E30" s="77"/>
      <c r="F30" s="77"/>
      <c r="G30" s="77"/>
    </row>
    <row r="31" spans="1:7" x14ac:dyDescent="0.25">
      <c r="A31" s="77"/>
      <c r="E31" s="77"/>
      <c r="F31" s="77"/>
      <c r="G31" s="77"/>
    </row>
    <row r="32" spans="1:7" x14ac:dyDescent="0.25">
      <c r="A32" s="77"/>
      <c r="E32" s="83"/>
      <c r="F32" s="77"/>
      <c r="G32" s="77"/>
    </row>
    <row r="33" spans="1:7" x14ac:dyDescent="0.25">
      <c r="A33" s="77"/>
      <c r="E33" s="77"/>
      <c r="F33" s="77"/>
      <c r="G33" s="77"/>
    </row>
    <row r="34" spans="1:7" x14ac:dyDescent="0.25">
      <c r="A34" s="77"/>
      <c r="E34" s="77"/>
      <c r="F34" s="77"/>
      <c r="G34" s="77"/>
    </row>
    <row r="35" spans="1:7" x14ac:dyDescent="0.25">
      <c r="A35" s="77"/>
      <c r="E35" s="77"/>
      <c r="F35" s="77"/>
      <c r="G35" s="77"/>
    </row>
    <row r="36" spans="1:7" x14ac:dyDescent="0.25">
      <c r="A36" s="77"/>
      <c r="E36" s="77"/>
      <c r="F36" s="77"/>
      <c r="G36" s="77"/>
    </row>
    <row r="37" spans="1:7" x14ac:dyDescent="0.25">
      <c r="A37" s="77"/>
      <c r="E37" s="77"/>
      <c r="F37" s="77"/>
      <c r="G37" s="77"/>
    </row>
    <row r="38" spans="1:7" x14ac:dyDescent="0.25">
      <c r="B38" s="6"/>
    </row>
    <row r="39" spans="1:7" x14ac:dyDescent="0.25">
      <c r="B39" s="7"/>
    </row>
    <row r="40" spans="1:7" x14ac:dyDescent="0.25">
      <c r="B40" s="8"/>
    </row>
    <row r="41" spans="1:7" x14ac:dyDescent="0.25">
      <c r="B41" s="9"/>
    </row>
    <row r="42" spans="1:7" x14ac:dyDescent="0.25">
      <c r="B42" s="9"/>
    </row>
    <row r="44" spans="1:7" x14ac:dyDescent="0.25">
      <c r="B44" s="10"/>
    </row>
  </sheetData>
  <sheetProtection algorithmName="SHA-512" hashValue="MC3w+YhIwPtR9M7cAhEW9aOMv0Fn8Pe+ntiCCLs9Qr2EYD9yOxHu5Ldx/LnDxrhL3EPYa/JJDQ0LMLvIYvIElg==" saltValue="ZCFcpf7W/aCZY+w/3PIKBw==" spinCount="100000" sheet="1" objects="1" scenarios="1"/>
  <mergeCells count="2">
    <mergeCell ref="B8:B9"/>
    <mergeCell ref="B6:B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U31"/>
  <sheetViews>
    <sheetView zoomScaleNormal="100" workbookViewId="0">
      <selection activeCell="L37" sqref="L37"/>
    </sheetView>
  </sheetViews>
  <sheetFormatPr defaultRowHeight="15" x14ac:dyDescent="0.25"/>
  <cols>
    <col min="2" max="2" width="17.140625" customWidth="1"/>
    <col min="3" max="3" width="12.42578125" customWidth="1"/>
    <col min="4" max="4" width="9.85546875" customWidth="1"/>
    <col min="5" max="5" width="11.28515625" customWidth="1"/>
    <col min="8" max="8" width="15.85546875" customWidth="1"/>
    <col min="11" max="11" width="8.7109375" customWidth="1"/>
    <col min="14" max="14" width="11.42578125" customWidth="1"/>
    <col min="15" max="15" width="25.5703125" customWidth="1"/>
    <col min="17" max="17" width="21" customWidth="1"/>
    <col min="18" max="18" width="15.7109375" customWidth="1"/>
  </cols>
  <sheetData>
    <row r="1" spans="1:21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219"/>
      <c r="O1" s="219"/>
      <c r="P1" s="219"/>
      <c r="Q1" s="23"/>
      <c r="R1" s="23"/>
      <c r="S1" s="23"/>
      <c r="T1" s="23"/>
      <c r="U1" s="23"/>
    </row>
    <row r="2" spans="1:21" ht="18.75" x14ac:dyDescent="0.3">
      <c r="A2" s="77"/>
      <c r="B2" s="293" t="s">
        <v>134</v>
      </c>
      <c r="C2" s="115"/>
      <c r="D2" s="115"/>
      <c r="E2" s="115"/>
      <c r="F2" s="115"/>
      <c r="G2" s="115"/>
      <c r="H2" s="115"/>
      <c r="I2" s="115"/>
      <c r="J2" s="115"/>
      <c r="K2" s="77"/>
      <c r="L2" s="77"/>
      <c r="M2" s="77"/>
      <c r="N2" s="249"/>
      <c r="O2" s="249"/>
      <c r="P2" s="249"/>
      <c r="Q2" s="249"/>
      <c r="R2" s="249"/>
      <c r="S2" s="249"/>
      <c r="T2" s="23"/>
      <c r="U2" s="23"/>
    </row>
    <row r="3" spans="1:21" x14ac:dyDescent="0.25">
      <c r="A3" s="77"/>
      <c r="B3" s="128"/>
      <c r="C3" s="121"/>
      <c r="D3" s="115"/>
      <c r="E3" s="115"/>
      <c r="F3" s="115"/>
      <c r="G3" s="115"/>
      <c r="H3" s="115"/>
      <c r="I3" s="115"/>
      <c r="J3" s="115"/>
      <c r="K3" s="77"/>
      <c r="L3" s="77"/>
      <c r="M3" s="77"/>
      <c r="N3" s="23"/>
      <c r="O3" s="249"/>
      <c r="P3" s="249"/>
      <c r="Q3" s="249"/>
      <c r="R3" s="249"/>
      <c r="S3" s="249"/>
      <c r="T3" s="23"/>
      <c r="U3" s="23"/>
    </row>
    <row r="4" spans="1:21" ht="15.75" thickBot="1" x14ac:dyDescent="0.3">
      <c r="A4" s="77"/>
      <c r="B4" s="127" t="s">
        <v>72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23"/>
      <c r="O4" s="250"/>
      <c r="P4" s="23"/>
      <c r="Q4" s="23"/>
      <c r="R4" s="23"/>
      <c r="S4" s="23"/>
      <c r="T4" s="23"/>
      <c r="U4" s="23"/>
    </row>
    <row r="5" spans="1:21" x14ac:dyDescent="0.25">
      <c r="A5" s="77"/>
      <c r="B5" s="261"/>
      <c r="C5" s="267" t="s">
        <v>31</v>
      </c>
      <c r="D5" s="265" t="s">
        <v>32</v>
      </c>
      <c r="E5" s="268"/>
      <c r="F5" s="267" t="s">
        <v>31</v>
      </c>
      <c r="G5" s="265" t="s">
        <v>32</v>
      </c>
      <c r="H5" s="268"/>
      <c r="I5" s="264" t="s">
        <v>31</v>
      </c>
      <c r="J5" s="269" t="s">
        <v>32</v>
      </c>
      <c r="K5" s="77"/>
      <c r="L5" s="77"/>
      <c r="M5" s="77"/>
      <c r="N5" s="219"/>
      <c r="O5" s="219"/>
      <c r="P5" s="219"/>
      <c r="Q5" s="23"/>
      <c r="R5" s="23"/>
      <c r="S5" s="23"/>
      <c r="T5" s="23"/>
      <c r="U5" s="23"/>
    </row>
    <row r="6" spans="1:21" ht="15.75" thickBot="1" x14ac:dyDescent="0.3">
      <c r="A6" s="77"/>
      <c r="B6" s="262" t="s">
        <v>61</v>
      </c>
      <c r="C6" s="272" t="s">
        <v>62</v>
      </c>
      <c r="D6" s="271" t="s">
        <v>62</v>
      </c>
      <c r="E6" s="273" t="s">
        <v>63</v>
      </c>
      <c r="F6" s="272" t="s">
        <v>64</v>
      </c>
      <c r="G6" s="271" t="s">
        <v>64</v>
      </c>
      <c r="H6" s="273" t="s">
        <v>63</v>
      </c>
      <c r="I6" s="270" t="s">
        <v>68</v>
      </c>
      <c r="J6" s="273" t="s">
        <v>68</v>
      </c>
      <c r="K6" s="77"/>
      <c r="L6" s="77"/>
      <c r="M6" s="77"/>
      <c r="N6" s="219"/>
      <c r="O6" s="219"/>
      <c r="P6" s="219"/>
      <c r="Q6" s="23"/>
      <c r="R6" s="23"/>
      <c r="S6" s="23"/>
      <c r="T6" s="23"/>
      <c r="U6" s="23"/>
    </row>
    <row r="7" spans="1:21" x14ac:dyDescent="0.25">
      <c r="A7" s="77"/>
      <c r="B7" s="263" t="s">
        <v>34</v>
      </c>
      <c r="C7" s="528">
        <f>'Winery Data'!C17</f>
        <v>0</v>
      </c>
      <c r="D7" s="274">
        <f>'Winery Data'!C18</f>
        <v>0</v>
      </c>
      <c r="E7" s="123" t="s">
        <v>69</v>
      </c>
      <c r="F7" s="276">
        <f>'Conversions and EF'!C16</f>
        <v>6.2</v>
      </c>
      <c r="G7" s="277">
        <f>'Conversions and EF'!D16</f>
        <v>2.5</v>
      </c>
      <c r="H7" s="123" t="s">
        <v>35</v>
      </c>
      <c r="I7" s="278">
        <f>((F7/1000)*C7)/'Winery Data'!C19</f>
        <v>0</v>
      </c>
      <c r="J7" s="279">
        <f>((G7/1000)*D7)/'Winery Data'!C20</f>
        <v>0</v>
      </c>
      <c r="K7" s="77"/>
      <c r="L7" s="77"/>
      <c r="M7" s="77"/>
      <c r="N7" s="219"/>
      <c r="O7" s="219"/>
      <c r="P7" s="219"/>
      <c r="Q7" s="23"/>
      <c r="R7" s="23"/>
      <c r="S7" s="23"/>
      <c r="T7" s="23"/>
      <c r="U7" s="23"/>
    </row>
    <row r="8" spans="1:21" ht="15.75" thickBot="1" x14ac:dyDescent="0.3">
      <c r="A8" s="77"/>
      <c r="B8" s="81" t="s">
        <v>37</v>
      </c>
      <c r="C8" s="529">
        <f>'Winery Data'!C21</f>
        <v>0</v>
      </c>
      <c r="D8" s="275">
        <f>'Winery Data'!C22</f>
        <v>0</v>
      </c>
      <c r="E8" s="125" t="s">
        <v>70</v>
      </c>
      <c r="F8" s="526">
        <f>'Conversions and EF'!C17/365</f>
        <v>7.6241328555781543E-2</v>
      </c>
      <c r="G8" s="527">
        <f>'Conversions and EF'!D17/365</f>
        <v>7.0769854502827606E-2</v>
      </c>
      <c r="H8" s="125" t="s">
        <v>71</v>
      </c>
      <c r="I8" s="280">
        <f>(F8/1000)*C8</f>
        <v>0</v>
      </c>
      <c r="J8" s="281">
        <f>(G8/1000)*D8</f>
        <v>0</v>
      </c>
      <c r="K8" s="77"/>
      <c r="L8" s="77"/>
      <c r="M8" s="77"/>
      <c r="N8" s="77"/>
      <c r="O8" s="77"/>
      <c r="P8" s="77"/>
    </row>
    <row r="9" spans="1:21" ht="15.75" thickBot="1" x14ac:dyDescent="0.3">
      <c r="A9" s="77"/>
      <c r="B9" s="77"/>
      <c r="C9" s="77"/>
      <c r="D9" s="77"/>
      <c r="E9" s="77"/>
      <c r="F9" s="77"/>
      <c r="G9" s="77"/>
      <c r="H9" s="77"/>
      <c r="I9" s="282">
        <f>SUM(I7:I8)</f>
        <v>0</v>
      </c>
      <c r="J9" s="283">
        <f>SUM(J7:J8)</f>
        <v>0</v>
      </c>
      <c r="K9" s="77"/>
      <c r="L9" s="77"/>
      <c r="M9" s="77"/>
      <c r="N9" s="77"/>
      <c r="O9" s="77"/>
      <c r="P9" s="77"/>
    </row>
    <row r="10" spans="1:21" ht="15.75" thickBot="1" x14ac:dyDescent="0.3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</row>
    <row r="11" spans="1:21" ht="15.75" thickBot="1" x14ac:dyDescent="0.3">
      <c r="A11" s="77"/>
      <c r="B11" s="77"/>
      <c r="C11" s="77"/>
      <c r="D11" s="77"/>
      <c r="E11" s="77"/>
      <c r="F11" s="621" t="s">
        <v>135</v>
      </c>
      <c r="G11" s="622"/>
      <c r="H11" s="623"/>
      <c r="I11" s="306">
        <f>SUM(I9:J9)</f>
        <v>0</v>
      </c>
      <c r="J11" s="120" t="s">
        <v>68</v>
      </c>
      <c r="K11" s="77"/>
      <c r="L11" s="77"/>
      <c r="M11" s="77"/>
      <c r="N11" s="77"/>
      <c r="O11" s="77"/>
      <c r="P11" s="77"/>
    </row>
    <row r="12" spans="1:21" x14ac:dyDescent="0.25">
      <c r="A12" s="77"/>
      <c r="B12" s="77"/>
      <c r="C12" s="77"/>
      <c r="D12" s="77"/>
      <c r="E12" s="77"/>
      <c r="F12" s="299"/>
      <c r="G12" s="299"/>
      <c r="H12" s="299"/>
      <c r="I12" s="301"/>
      <c r="J12" s="300"/>
      <c r="K12" s="77"/>
      <c r="L12" s="77"/>
      <c r="M12" s="77"/>
      <c r="N12" s="77"/>
      <c r="O12" s="77"/>
      <c r="P12" s="77"/>
    </row>
    <row r="13" spans="1:21" x14ac:dyDescent="0.25">
      <c r="A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</row>
    <row r="14" spans="1:21" x14ac:dyDescent="0.25">
      <c r="A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</row>
    <row r="15" spans="1:21" ht="15.75" thickBot="1" x14ac:dyDescent="0.3">
      <c r="A15" s="77"/>
      <c r="B15" s="127" t="s">
        <v>73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</row>
    <row r="16" spans="1:21" x14ac:dyDescent="0.25">
      <c r="A16" s="77"/>
      <c r="B16" s="261"/>
      <c r="C16" s="264" t="s">
        <v>31</v>
      </c>
      <c r="D16" s="265" t="s">
        <v>32</v>
      </c>
      <c r="E16" s="266"/>
      <c r="F16" s="267" t="s">
        <v>31</v>
      </c>
      <c r="G16" s="265" t="s">
        <v>32</v>
      </c>
      <c r="H16" s="268"/>
      <c r="I16" s="264" t="s">
        <v>31</v>
      </c>
      <c r="J16" s="269" t="s">
        <v>32</v>
      </c>
      <c r="K16" s="77"/>
      <c r="L16" s="77"/>
      <c r="M16" s="77"/>
      <c r="N16" s="77"/>
      <c r="O16" s="77"/>
      <c r="P16" s="77"/>
    </row>
    <row r="17" spans="1:16" ht="15.75" thickBot="1" x14ac:dyDescent="0.3">
      <c r="A17" s="77"/>
      <c r="B17" s="262" t="s">
        <v>61</v>
      </c>
      <c r="C17" s="270" t="s">
        <v>62</v>
      </c>
      <c r="D17" s="271" t="s">
        <v>62</v>
      </c>
      <c r="E17" s="271" t="s">
        <v>63</v>
      </c>
      <c r="F17" s="272" t="s">
        <v>64</v>
      </c>
      <c r="G17" s="271" t="s">
        <v>64</v>
      </c>
      <c r="H17" s="273" t="s">
        <v>63</v>
      </c>
      <c r="I17" s="270" t="s">
        <v>65</v>
      </c>
      <c r="J17" s="273" t="s">
        <v>65</v>
      </c>
      <c r="K17" s="77"/>
      <c r="L17" s="77"/>
      <c r="M17" s="77"/>
      <c r="N17" s="77"/>
      <c r="O17" s="77"/>
      <c r="P17" s="77"/>
    </row>
    <row r="18" spans="1:16" x14ac:dyDescent="0.25">
      <c r="A18" s="77"/>
      <c r="B18" s="263" t="s">
        <v>34</v>
      </c>
      <c r="C18" s="284">
        <f>'Winery Data'!C7</f>
        <v>0</v>
      </c>
      <c r="D18" s="274">
        <f>'Winery Data'!C9</f>
        <v>0</v>
      </c>
      <c r="E18" s="122" t="s">
        <v>16</v>
      </c>
      <c r="F18" s="276">
        <f>'Conversions and EF'!C16</f>
        <v>6.2</v>
      </c>
      <c r="G18" s="277">
        <f>'Conversions and EF'!D16</f>
        <v>2.5</v>
      </c>
      <c r="H18" s="123" t="s">
        <v>35</v>
      </c>
      <c r="I18" s="284">
        <f>(F18/1000)*C18</f>
        <v>0</v>
      </c>
      <c r="J18" s="288">
        <f>(G18/1000)*D18</f>
        <v>0</v>
      </c>
      <c r="K18" s="77"/>
      <c r="L18" s="77"/>
      <c r="M18" s="77"/>
      <c r="N18" s="77"/>
      <c r="O18" s="77"/>
      <c r="P18" s="77"/>
    </row>
    <row r="19" spans="1:16" ht="15.75" thickBot="1" x14ac:dyDescent="0.3">
      <c r="A19" s="77"/>
      <c r="B19" s="81" t="s">
        <v>37</v>
      </c>
      <c r="C19" s="285">
        <f>'Winery Data'!C12</f>
        <v>0</v>
      </c>
      <c r="D19" s="275">
        <f>'Winery Data'!C13</f>
        <v>0</v>
      </c>
      <c r="E19" s="124" t="s">
        <v>16</v>
      </c>
      <c r="F19" s="286">
        <f>'Conversions and EF'!C17</f>
        <v>27.828084922860263</v>
      </c>
      <c r="G19" s="287">
        <f>'Conversions and EF'!D17</f>
        <v>25.830996893532074</v>
      </c>
      <c r="H19" s="125" t="s">
        <v>35</v>
      </c>
      <c r="I19" s="285">
        <f>(F19/1000)*C19</f>
        <v>0</v>
      </c>
      <c r="J19" s="289">
        <f>(G19/1000)*D19</f>
        <v>0</v>
      </c>
      <c r="K19" s="77"/>
      <c r="L19" s="77"/>
      <c r="M19" s="77"/>
      <c r="N19" s="77"/>
      <c r="O19" s="77"/>
      <c r="P19" s="77"/>
    </row>
    <row r="20" spans="1:16" ht="15.75" thickBot="1" x14ac:dyDescent="0.3">
      <c r="A20" s="77"/>
      <c r="B20" s="77"/>
      <c r="C20" s="77"/>
      <c r="D20" s="77"/>
      <c r="E20" s="77"/>
      <c r="F20" s="93"/>
      <c r="G20" s="93"/>
      <c r="H20" s="93"/>
      <c r="I20" s="251">
        <f>SUM(I18:I19)</f>
        <v>0</v>
      </c>
      <c r="J20" s="252">
        <f>SUM(J18:J19)</f>
        <v>0</v>
      </c>
      <c r="K20" s="77"/>
      <c r="L20" s="77"/>
      <c r="M20" s="77"/>
      <c r="N20" s="77"/>
      <c r="O20" s="77"/>
      <c r="P20" s="77"/>
    </row>
    <row r="21" spans="1:16" ht="15.75" thickBot="1" x14ac:dyDescent="0.3">
      <c r="A21" s="77"/>
      <c r="B21" s="77"/>
      <c r="C21" s="77"/>
      <c r="D21" s="77"/>
      <c r="E21" s="77"/>
      <c r="F21" s="93"/>
      <c r="G21" s="93"/>
      <c r="H21" s="93"/>
      <c r="I21" s="93"/>
      <c r="J21" s="93"/>
      <c r="K21" s="77"/>
      <c r="L21" s="77"/>
      <c r="M21" s="77"/>
      <c r="N21" s="77"/>
      <c r="O21" s="77"/>
      <c r="P21" s="77"/>
    </row>
    <row r="22" spans="1:16" x14ac:dyDescent="0.25">
      <c r="A22" s="77"/>
      <c r="B22" s="77"/>
      <c r="C22" s="77"/>
      <c r="D22" s="77"/>
      <c r="E22" s="77"/>
      <c r="F22" s="77"/>
      <c r="G22" s="77"/>
      <c r="H22" s="126" t="s">
        <v>66</v>
      </c>
      <c r="I22" s="504">
        <f>SUM(I20:J20)</f>
        <v>0</v>
      </c>
      <c r="J22" s="117" t="s">
        <v>65</v>
      </c>
      <c r="K22" s="77"/>
      <c r="L22" s="77"/>
      <c r="M22" s="77"/>
      <c r="N22" s="77"/>
      <c r="O22" s="77"/>
      <c r="P22" s="77"/>
    </row>
    <row r="23" spans="1:16" ht="15.75" thickBot="1" x14ac:dyDescent="0.3">
      <c r="A23" s="77"/>
      <c r="B23" s="77"/>
      <c r="C23" s="77"/>
      <c r="D23" s="77"/>
      <c r="E23" s="77"/>
      <c r="F23" s="77"/>
      <c r="G23" s="77"/>
      <c r="H23" s="118"/>
      <c r="I23" s="505">
        <f>I22/'Conversions and EF'!D11</f>
        <v>0</v>
      </c>
      <c r="J23" s="119" t="s">
        <v>67</v>
      </c>
      <c r="K23" s="77"/>
      <c r="L23" s="77"/>
      <c r="M23" s="77"/>
      <c r="N23" s="77"/>
      <c r="O23" s="77"/>
      <c r="P23" s="77"/>
    </row>
    <row r="24" spans="1:16" x14ac:dyDescent="0.25">
      <c r="A24" s="77"/>
      <c r="B24" s="77"/>
      <c r="C24" s="77"/>
      <c r="D24" s="77"/>
      <c r="E24" s="219"/>
      <c r="F24" s="219"/>
      <c r="G24" s="219"/>
      <c r="H24" s="219"/>
      <c r="I24" s="439"/>
      <c r="J24" s="219"/>
      <c r="K24" s="77"/>
      <c r="L24" s="77"/>
      <c r="M24" s="77"/>
      <c r="N24" s="77"/>
      <c r="O24" s="77"/>
      <c r="P24" s="77"/>
    </row>
    <row r="25" spans="1:16" x14ac:dyDescent="0.25">
      <c r="B25" s="6"/>
      <c r="E25" s="620"/>
      <c r="F25" s="620"/>
      <c r="G25" s="620"/>
      <c r="H25" s="620"/>
      <c r="I25" s="248"/>
      <c r="J25" s="23"/>
    </row>
    <row r="26" spans="1:16" x14ac:dyDescent="0.25">
      <c r="B26" s="7"/>
      <c r="E26" s="23"/>
      <c r="F26" s="23"/>
      <c r="G26" s="23"/>
      <c r="H26" s="23"/>
      <c r="I26" s="23"/>
      <c r="J26" s="23"/>
    </row>
    <row r="27" spans="1:16" x14ac:dyDescent="0.25">
      <c r="B27" s="12"/>
      <c r="E27" s="23"/>
      <c r="F27" s="23"/>
      <c r="G27" s="23"/>
      <c r="H27" s="23"/>
      <c r="I27" s="23"/>
      <c r="J27" s="23"/>
    </row>
    <row r="28" spans="1:16" x14ac:dyDescent="0.25">
      <c r="B28" s="13"/>
    </row>
    <row r="29" spans="1:16" x14ac:dyDescent="0.25">
      <c r="B29" s="13"/>
    </row>
    <row r="30" spans="1:16" x14ac:dyDescent="0.25">
      <c r="B30" s="13"/>
    </row>
    <row r="31" spans="1:16" x14ac:dyDescent="0.25">
      <c r="B31" s="10"/>
    </row>
  </sheetData>
  <sheetProtection algorithmName="SHA-512" hashValue="ajS3xa+j/0J7aNs6vU1D0Itfe6/Hf9zW0WY8LCWHSmJ3x+7PGHfyu08PPptkXDb057mYW7ALCDygha1FbRKUNQ==" saltValue="dsrx0quSZPrnHOb1kPj+Mg==" spinCount="100000" sheet="1" objects="1" scenarios="1"/>
  <mergeCells count="2">
    <mergeCell ref="E25:H25"/>
    <mergeCell ref="F11:H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2:K26"/>
  <sheetViews>
    <sheetView workbookViewId="0">
      <selection activeCell="K17" sqref="K17"/>
    </sheetView>
  </sheetViews>
  <sheetFormatPr defaultRowHeight="15" x14ac:dyDescent="0.25"/>
  <cols>
    <col min="2" max="2" width="23" customWidth="1"/>
    <col min="3" max="3" width="12.42578125" customWidth="1"/>
    <col min="4" max="4" width="28.28515625" customWidth="1"/>
    <col min="13" max="13" width="11.42578125" customWidth="1"/>
    <col min="14" max="14" width="25.5703125" customWidth="1"/>
    <col min="16" max="16" width="21" customWidth="1"/>
    <col min="17" max="17" width="15.7109375" customWidth="1"/>
  </cols>
  <sheetData>
    <row r="2" spans="2:11" ht="18.75" x14ac:dyDescent="0.3">
      <c r="B2" s="624" t="s">
        <v>79</v>
      </c>
      <c r="C2" s="624"/>
      <c r="D2" s="624"/>
      <c r="G2" s="21"/>
      <c r="H2" s="184"/>
      <c r="I2" s="184"/>
      <c r="J2" s="184"/>
      <c r="K2" s="184"/>
    </row>
    <row r="3" spans="2:11" ht="15.75" thickBot="1" x14ac:dyDescent="0.3">
      <c r="G3" s="21"/>
      <c r="H3" s="21"/>
      <c r="I3" s="21"/>
      <c r="J3" s="21"/>
      <c r="K3" s="21"/>
    </row>
    <row r="4" spans="2:11" ht="15.75" thickBot="1" x14ac:dyDescent="0.3">
      <c r="B4" s="109" t="s">
        <v>133</v>
      </c>
      <c r="C4" s="111" t="s">
        <v>13</v>
      </c>
      <c r="D4" s="112" t="s">
        <v>14</v>
      </c>
    </row>
    <row r="5" spans="2:11" x14ac:dyDescent="0.25">
      <c r="B5" s="66" t="s">
        <v>74</v>
      </c>
      <c r="C5" s="113">
        <f>6303*'Conversions and EF'!C27</f>
        <v>882.42000000000007</v>
      </c>
      <c r="D5" s="110" t="s">
        <v>121</v>
      </c>
    </row>
    <row r="6" spans="2:11" ht="15.75" thickBot="1" x14ac:dyDescent="0.3">
      <c r="B6" s="34" t="s">
        <v>75</v>
      </c>
      <c r="C6" s="114">
        <f>6303*'Conversions and EF'!C28</f>
        <v>819.39</v>
      </c>
      <c r="D6" s="19" t="s">
        <v>122</v>
      </c>
    </row>
    <row r="7" spans="2:11" x14ac:dyDescent="0.25">
      <c r="B7" s="4"/>
    </row>
    <row r="8" spans="2:11" ht="15.75" thickBot="1" x14ac:dyDescent="0.3"/>
    <row r="9" spans="2:11" ht="15.75" thickBot="1" x14ac:dyDescent="0.3">
      <c r="B9" s="197" t="s">
        <v>15</v>
      </c>
      <c r="C9" s="456">
        <f>'Winery Data'!C7</f>
        <v>0</v>
      </c>
      <c r="D9" s="17" t="s">
        <v>77</v>
      </c>
    </row>
    <row r="10" spans="2:11" x14ac:dyDescent="0.25">
      <c r="B10" s="625" t="s">
        <v>76</v>
      </c>
      <c r="C10" s="456">
        <f>C9/1000*'Conversions and EF'!C20</f>
        <v>0</v>
      </c>
      <c r="D10" s="110" t="s">
        <v>78</v>
      </c>
    </row>
    <row r="11" spans="2:11" ht="15.75" thickBot="1" x14ac:dyDescent="0.3">
      <c r="B11" s="626"/>
      <c r="C11" s="20">
        <f>C10/'Conversions and EF'!$D$8</f>
        <v>0</v>
      </c>
      <c r="D11" s="19" t="s">
        <v>207</v>
      </c>
    </row>
    <row r="12" spans="2:11" ht="15.75" thickBot="1" x14ac:dyDescent="0.3">
      <c r="B12" s="196" t="s">
        <v>18</v>
      </c>
      <c r="C12" s="456">
        <f>'Winery Data'!C9</f>
        <v>0</v>
      </c>
      <c r="D12" s="17" t="s">
        <v>77</v>
      </c>
    </row>
    <row r="13" spans="2:11" x14ac:dyDescent="0.25">
      <c r="B13" s="627" t="s">
        <v>80</v>
      </c>
      <c r="C13" s="456">
        <f>C12/1000*'Conversions and EF'!C21</f>
        <v>0</v>
      </c>
      <c r="D13" s="18" t="s">
        <v>78</v>
      </c>
    </row>
    <row r="14" spans="2:11" ht="15.75" thickBot="1" x14ac:dyDescent="0.3">
      <c r="B14" s="628"/>
      <c r="C14" s="20">
        <f>C13/'Conversions and EF'!$D$8</f>
        <v>0</v>
      </c>
      <c r="D14" s="19" t="s">
        <v>207</v>
      </c>
    </row>
    <row r="15" spans="2:11" ht="15.75" thickBot="1" x14ac:dyDescent="0.3">
      <c r="B15" s="195" t="s">
        <v>192</v>
      </c>
      <c r="C15" s="441">
        <f>C11+C14</f>
        <v>0</v>
      </c>
      <c r="D15" s="180" t="s">
        <v>207</v>
      </c>
    </row>
    <row r="23" spans="2:2" x14ac:dyDescent="0.25">
      <c r="B23" s="6"/>
    </row>
    <row r="24" spans="2:2" x14ac:dyDescent="0.25">
      <c r="B24" s="7"/>
    </row>
    <row r="25" spans="2:2" x14ac:dyDescent="0.25">
      <c r="B25" s="8"/>
    </row>
    <row r="26" spans="2:2" x14ac:dyDescent="0.25">
      <c r="B26" s="9"/>
    </row>
  </sheetData>
  <sheetProtection algorithmName="SHA-512" hashValue="6v6vvuM+emvuQY9Z8dZ/b46tDBjmRSCgemB7GUOmaaeDGh1DtJDtlTBGFOcCRuAIt2XNfrt+SIuy1EcPtu0wIw==" saltValue="OpRvV7cOcRIDPMvVUUDALQ==" spinCount="100000" sheet="1" objects="1" scenarios="1"/>
  <mergeCells count="3">
    <mergeCell ref="B2:D2"/>
    <mergeCell ref="B10:B11"/>
    <mergeCell ref="B13:B1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2:O48"/>
  <sheetViews>
    <sheetView zoomScaleNormal="100" workbookViewId="0">
      <selection activeCell="E25" sqref="E25"/>
    </sheetView>
  </sheetViews>
  <sheetFormatPr defaultRowHeight="12.75" x14ac:dyDescent="0.2"/>
  <cols>
    <col min="1" max="1" width="9.5703125" style="129" customWidth="1"/>
    <col min="2" max="2" width="27.85546875" style="129" customWidth="1"/>
    <col min="3" max="3" width="16.85546875" style="129" customWidth="1"/>
    <col min="4" max="4" width="14.42578125" style="129" customWidth="1"/>
    <col min="5" max="5" width="22.28515625" style="129" customWidth="1"/>
    <col min="6" max="6" width="11.42578125" style="129" customWidth="1"/>
    <col min="7" max="7" width="13.5703125" style="129" customWidth="1"/>
    <col min="8" max="8" width="11.28515625" style="129" customWidth="1"/>
    <col min="9" max="9" width="9.140625" style="129"/>
    <col min="10" max="10" width="13.5703125" style="129" customWidth="1"/>
    <col min="11" max="11" width="19.28515625" style="129" customWidth="1"/>
    <col min="12" max="16384" width="9.140625" style="129"/>
  </cols>
  <sheetData>
    <row r="2" spans="1:15" ht="18.75" x14ac:dyDescent="0.3">
      <c r="A2" s="132"/>
      <c r="B2" s="292" t="s">
        <v>169</v>
      </c>
      <c r="C2" s="232"/>
      <c r="D2" s="132"/>
      <c r="E2" s="132"/>
      <c r="F2" s="132"/>
      <c r="G2" s="132"/>
      <c r="H2" s="132"/>
      <c r="I2" s="131"/>
      <c r="J2" s="131"/>
    </row>
    <row r="3" spans="1:15" ht="15.75" thickBot="1" x14ac:dyDescent="0.3">
      <c r="A3" s="132"/>
      <c r="B3" s="132"/>
      <c r="C3" s="132"/>
      <c r="D3" s="132"/>
      <c r="E3" s="132"/>
      <c r="F3" s="132"/>
      <c r="G3" s="132"/>
      <c r="H3" s="132"/>
      <c r="I3" s="131"/>
      <c r="J3" s="131"/>
    </row>
    <row r="4" spans="1:15" ht="15.75" thickBot="1" x14ac:dyDescent="0.3">
      <c r="A4" s="132"/>
      <c r="B4" s="629" t="s">
        <v>175</v>
      </c>
      <c r="C4" s="630"/>
      <c r="D4" s="631"/>
      <c r="E4" s="461" t="str">
        <f>'Project Data Input'!N12</f>
        <v>Yes</v>
      </c>
      <c r="F4" s="132"/>
      <c r="G4" s="132"/>
      <c r="H4" s="132"/>
      <c r="I4" s="131"/>
      <c r="J4" s="131"/>
    </row>
    <row r="5" spans="1:15" ht="15.75" thickBot="1" x14ac:dyDescent="0.3">
      <c r="A5" s="132"/>
      <c r="B5" s="589" t="s">
        <v>185</v>
      </c>
      <c r="C5" s="632"/>
      <c r="D5" s="633"/>
      <c r="E5" s="461" t="str">
        <f>'Project Data Input'!N13</f>
        <v>Natural Gas</v>
      </c>
      <c r="F5" s="132"/>
      <c r="G5" s="132"/>
      <c r="H5" s="132"/>
      <c r="I5" s="131"/>
      <c r="J5" s="131"/>
    </row>
    <row r="6" spans="1:15" ht="15.75" thickBot="1" x14ac:dyDescent="0.3">
      <c r="A6" s="132"/>
      <c r="B6" s="634" t="s">
        <v>176</v>
      </c>
      <c r="C6" s="635"/>
      <c r="D6" s="636"/>
      <c r="E6" s="445" t="str">
        <f>'Project Data Input'!N14</f>
        <v>Yes</v>
      </c>
      <c r="F6" s="132"/>
      <c r="G6" s="132"/>
      <c r="H6" s="132"/>
      <c r="I6" s="131"/>
      <c r="J6" s="131"/>
    </row>
    <row r="7" spans="1:15" ht="15" x14ac:dyDescent="0.25">
      <c r="A7" s="132"/>
      <c r="B7" s="132"/>
      <c r="C7" s="132"/>
      <c r="D7" s="132"/>
      <c r="E7" s="132"/>
      <c r="F7" s="132"/>
      <c r="G7" s="132"/>
      <c r="H7" s="132"/>
      <c r="I7" s="131"/>
      <c r="J7" s="131"/>
    </row>
    <row r="8" spans="1:15" ht="15" x14ac:dyDescent="0.25">
      <c r="A8" s="131"/>
      <c r="B8" s="230" t="s">
        <v>137</v>
      </c>
      <c r="C8" s="342"/>
      <c r="D8" s="342"/>
      <c r="E8" s="342"/>
      <c r="F8" s="131"/>
      <c r="G8" s="131"/>
      <c r="H8" s="131"/>
      <c r="I8" s="131"/>
      <c r="J8" s="131"/>
    </row>
    <row r="9" spans="1:15" ht="15.75" thickBot="1" x14ac:dyDescent="0.3">
      <c r="A9" s="131"/>
      <c r="B9" s="230"/>
      <c r="C9" s="342"/>
      <c r="D9" s="342"/>
      <c r="E9" s="342"/>
      <c r="F9" s="131"/>
      <c r="G9" s="131"/>
      <c r="H9" s="131"/>
      <c r="I9" s="131"/>
      <c r="J9" s="131"/>
    </row>
    <row r="10" spans="1:15" customFormat="1" ht="15" x14ac:dyDescent="0.25">
      <c r="B10" s="629" t="s">
        <v>260</v>
      </c>
      <c r="C10" s="630"/>
      <c r="D10" s="631"/>
      <c r="E10" s="461" t="str">
        <f>'Project Data Input'!N12</f>
        <v>Yes</v>
      </c>
      <c r="J10" s="23"/>
      <c r="K10" s="249"/>
      <c r="L10" s="249"/>
      <c r="M10" s="249"/>
      <c r="N10" s="249"/>
      <c r="O10" s="249"/>
    </row>
    <row r="11" spans="1:15" customFormat="1" ht="15" x14ac:dyDescent="0.25">
      <c r="B11" s="589" t="s">
        <v>261</v>
      </c>
      <c r="C11" s="632"/>
      <c r="D11" s="633"/>
      <c r="E11" s="462" t="str">
        <f>'Project Data Input'!N13</f>
        <v>Natural Gas</v>
      </c>
      <c r="J11" s="23"/>
      <c r="K11" s="249"/>
      <c r="L11" s="249"/>
      <c r="M11" s="249"/>
      <c r="N11" s="249"/>
      <c r="O11" s="249"/>
    </row>
    <row r="12" spans="1:15" customFormat="1" ht="15.75" thickBot="1" x14ac:dyDescent="0.3">
      <c r="B12" s="634" t="s">
        <v>176</v>
      </c>
      <c r="C12" s="635"/>
      <c r="D12" s="636"/>
      <c r="E12" s="463" t="str">
        <f>'Project Data Input'!N14</f>
        <v>Yes</v>
      </c>
      <c r="J12" s="23"/>
      <c r="K12" s="250"/>
      <c r="L12" s="23"/>
      <c r="M12" s="23"/>
      <c r="N12" s="23"/>
      <c r="O12" s="23"/>
    </row>
    <row r="13" spans="1:15" customFormat="1" ht="15" x14ac:dyDescent="0.25">
      <c r="B13" s="503"/>
      <c r="C13" s="503"/>
      <c r="D13" s="503"/>
      <c r="E13" s="23"/>
      <c r="J13" s="23"/>
      <c r="K13" s="250"/>
      <c r="L13" s="23"/>
      <c r="M13" s="23"/>
      <c r="N13" s="23"/>
      <c r="O13" s="23"/>
    </row>
    <row r="14" spans="1:15" ht="15.75" thickBot="1" x14ac:dyDescent="0.3">
      <c r="A14" s="131"/>
      <c r="B14" s="151" t="s">
        <v>184</v>
      </c>
      <c r="C14" s="131"/>
      <c r="D14" s="131"/>
      <c r="E14" s="131"/>
      <c r="F14" s="131"/>
      <c r="G14" s="131"/>
      <c r="H14" s="131"/>
      <c r="I14" s="131"/>
      <c r="J14" s="131"/>
    </row>
    <row r="15" spans="1:15" ht="15.75" thickBot="1" x14ac:dyDescent="0.3">
      <c r="A15" s="131"/>
      <c r="B15" s="156" t="s">
        <v>12</v>
      </c>
      <c r="C15" s="141" t="s">
        <v>13</v>
      </c>
      <c r="D15" s="155" t="s">
        <v>14</v>
      </c>
      <c r="E15" s="551" t="s">
        <v>138</v>
      </c>
      <c r="F15" s="552"/>
      <c r="G15" s="131"/>
      <c r="H15" s="131"/>
      <c r="I15" s="131"/>
      <c r="J15" s="131"/>
    </row>
    <row r="16" spans="1:15" ht="15" x14ac:dyDescent="0.25">
      <c r="A16" s="131"/>
      <c r="B16" s="531" t="s">
        <v>226</v>
      </c>
      <c r="C16" s="457">
        <f>IF($E$4="No",0,'Project Data Input'!L18)</f>
        <v>0</v>
      </c>
      <c r="D16" s="410" t="s">
        <v>229</v>
      </c>
      <c r="E16" s="417"/>
      <c r="F16" s="418"/>
      <c r="G16" s="131"/>
      <c r="H16" s="131"/>
      <c r="I16" s="131"/>
      <c r="J16" s="131"/>
    </row>
    <row r="17" spans="1:10" ht="15" x14ac:dyDescent="0.25">
      <c r="A17" s="131"/>
      <c r="B17" s="531" t="s">
        <v>226</v>
      </c>
      <c r="C17" s="421">
        <f>C16/'Conversions and EF'!D10</f>
        <v>0</v>
      </c>
      <c r="D17" s="169" t="s">
        <v>140</v>
      </c>
      <c r="E17" s="553" t="s">
        <v>139</v>
      </c>
      <c r="F17" s="554"/>
      <c r="G17" s="131"/>
      <c r="H17" s="131"/>
      <c r="I17" s="131"/>
      <c r="J17" s="131"/>
    </row>
    <row r="18" spans="1:10" ht="15" x14ac:dyDescent="0.25">
      <c r="A18" s="131"/>
      <c r="B18" s="167" t="s">
        <v>141</v>
      </c>
      <c r="C18" s="415">
        <f>C17*F18*24</f>
        <v>0</v>
      </c>
      <c r="D18" s="165" t="s">
        <v>142</v>
      </c>
      <c r="E18" s="163" t="s">
        <v>143</v>
      </c>
      <c r="F18" s="170">
        <f>'Project Data Input'!O20</f>
        <v>1</v>
      </c>
      <c r="H18" s="131"/>
      <c r="I18" s="131"/>
      <c r="J18" s="131"/>
    </row>
    <row r="19" spans="1:10" ht="15.75" thickBot="1" x14ac:dyDescent="0.3">
      <c r="A19" s="131"/>
      <c r="B19" s="168" t="s">
        <v>144</v>
      </c>
      <c r="C19" s="416">
        <f>C17*F19*'Conversions and EF'!D6*'Conversions and EF'!D7</f>
        <v>0</v>
      </c>
      <c r="D19" s="166" t="s">
        <v>145</v>
      </c>
      <c r="E19" s="164" t="s">
        <v>146</v>
      </c>
      <c r="F19" s="458">
        <f>'Project Data Input'!O21</f>
        <v>1</v>
      </c>
      <c r="H19" s="131"/>
      <c r="I19" s="131"/>
      <c r="J19" s="131"/>
    </row>
    <row r="20" spans="1:10" ht="15" x14ac:dyDescent="0.25">
      <c r="A20" s="131"/>
      <c r="B20" s="172" t="s">
        <v>237</v>
      </c>
      <c r="C20" s="174" t="str">
        <f>IF(C16&gt;='Conversions and EF'!F44,"Rule 342",IF(C16&gt;'Conversions and EF'!E44,"Rule 361",IF(C16&gt;'Conversions and EF'!D44,"Rule 360-B",IF(C16&gt;='Conversions and EF'!C44,"Rule 360-A","Error"))))</f>
        <v>Error</v>
      </c>
      <c r="D20" s="351"/>
      <c r="E20" s="351"/>
      <c r="F20" s="342"/>
      <c r="G20" s="131"/>
      <c r="H20" s="131"/>
      <c r="I20" s="131"/>
    </row>
    <row r="21" spans="1:10" ht="15" x14ac:dyDescent="0.25">
      <c r="A21" s="131"/>
      <c r="B21" s="419"/>
      <c r="C21" s="420"/>
      <c r="D21" s="351"/>
      <c r="E21" s="351"/>
      <c r="F21" s="342"/>
      <c r="G21" s="131"/>
      <c r="H21" s="131"/>
      <c r="I21" s="131"/>
    </row>
    <row r="22" spans="1:10" ht="15.75" thickBot="1" x14ac:dyDescent="0.3">
      <c r="A22" s="131"/>
      <c r="B22" s="151" t="s">
        <v>209</v>
      </c>
      <c r="C22" s="131"/>
      <c r="D22" s="131"/>
      <c r="E22" s="132"/>
      <c r="F22" s="132"/>
      <c r="G22" s="131"/>
      <c r="H22" s="131"/>
      <c r="I22" s="131"/>
      <c r="J22" s="131"/>
    </row>
    <row r="23" spans="1:10" ht="15.75" thickBot="1" x14ac:dyDescent="0.3">
      <c r="A23" s="131"/>
      <c r="B23" s="224" t="s">
        <v>157</v>
      </c>
      <c r="C23" s="225" t="s">
        <v>249</v>
      </c>
      <c r="D23" s="226" t="s">
        <v>158</v>
      </c>
      <c r="E23" s="133"/>
      <c r="F23" s="132"/>
      <c r="G23" s="131"/>
      <c r="H23" s="131"/>
      <c r="I23" s="131"/>
      <c r="J23" s="131"/>
    </row>
    <row r="24" spans="1:10" ht="15" x14ac:dyDescent="0.25">
      <c r="A24" s="131"/>
      <c r="B24" s="152" t="s">
        <v>151</v>
      </c>
      <c r="C24" s="494" t="e">
        <f>IF('Project Data Input'!N$13="Natural Gas",HLOOKUP('Equipment Data'!C$20,'Conversions and EF'!C$43:F$50,4,FALSE),HLOOKUP('Equipment Data'!C$20,'Conversions and EF'!C$55:F$62,4,FALSE))</f>
        <v>#N/A</v>
      </c>
      <c r="D24" s="223" t="e">
        <f>C24*$C$18</f>
        <v>#N/A</v>
      </c>
      <c r="E24" s="220"/>
      <c r="F24" s="132"/>
      <c r="G24" s="131"/>
      <c r="H24" s="131"/>
      <c r="I24" s="131"/>
      <c r="J24" s="131"/>
    </row>
    <row r="25" spans="1:10" ht="15" x14ac:dyDescent="0.25">
      <c r="A25" s="131"/>
      <c r="B25" s="153" t="s">
        <v>153</v>
      </c>
      <c r="C25" s="494" t="e">
        <f>IF('Project Data Input'!N$13="Natural Gas",HLOOKUP('Equipment Data'!C$20,'Conversions and EF'!C$43:F$50,5,FALSE),HLOOKUP('Equipment Data'!C$20,'Conversions and EF'!C$55:F$62,5,FALSE))</f>
        <v>#N/A</v>
      </c>
      <c r="D25" s="223" t="e">
        <f>C25*$C$18</f>
        <v>#N/A</v>
      </c>
      <c r="E25" s="220"/>
      <c r="F25" s="132"/>
      <c r="G25" s="131"/>
      <c r="H25" s="131"/>
      <c r="I25" s="131"/>
      <c r="J25" s="131"/>
    </row>
    <row r="26" spans="1:10" ht="15" x14ac:dyDescent="0.25">
      <c r="A26" s="131"/>
      <c r="B26" s="153" t="s">
        <v>154</v>
      </c>
      <c r="C26" s="494" t="e">
        <f>IF('Project Data Input'!N$13="Natural Gas",HLOOKUP('Equipment Data'!C$20,'Conversions and EF'!C$43:F$50,6,FALSE),HLOOKUP('Equipment Data'!C$20,'Conversions and EF'!C$55:F$62,6,FALSE))</f>
        <v>#N/A</v>
      </c>
      <c r="D26" s="223" t="e">
        <f>C26*$C$18</f>
        <v>#N/A</v>
      </c>
      <c r="E26" s="220"/>
      <c r="F26" s="132"/>
      <c r="G26" s="131"/>
      <c r="H26" s="131"/>
      <c r="I26" s="131"/>
      <c r="J26" s="131"/>
    </row>
    <row r="27" spans="1:10" ht="15" x14ac:dyDescent="0.25">
      <c r="A27" s="131"/>
      <c r="B27" s="153" t="s">
        <v>155</v>
      </c>
      <c r="C27" s="495" t="e">
        <f>IF('Project Data Input'!N$13="Natural Gas",HLOOKUP('Equipment Data'!C$20,'Conversions and EF'!C$43:F$50,7,FALSE),HLOOKUP('Equipment Data'!C$20,'Conversions and EF'!C$55:F$62,7,FALSE))</f>
        <v>#N/A</v>
      </c>
      <c r="D27" s="223" t="e">
        <f>C27*$C$18</f>
        <v>#N/A</v>
      </c>
      <c r="E27" s="220"/>
      <c r="F27" s="132"/>
      <c r="G27" s="131"/>
      <c r="H27" s="131"/>
      <c r="I27" s="131"/>
      <c r="J27" s="131"/>
    </row>
    <row r="28" spans="1:10" ht="15.75" thickBot="1" x14ac:dyDescent="0.3">
      <c r="A28" s="131"/>
      <c r="B28" s="154" t="s">
        <v>156</v>
      </c>
      <c r="C28" s="496" t="e">
        <f>IF('Project Data Input'!N$13="Natural Gas",HLOOKUP('Equipment Data'!C$20,'Conversions and EF'!C$43:F$50,8,FALSE),HLOOKUP('Equipment Data'!C$20,'Conversions and EF'!C$55:F$62,8,FALSE))</f>
        <v>#N/A</v>
      </c>
      <c r="D28" s="473" t="e">
        <f>C28*$C$18</f>
        <v>#N/A</v>
      </c>
      <c r="E28" s="220"/>
      <c r="F28" s="132"/>
      <c r="G28" s="131"/>
      <c r="H28" s="131"/>
      <c r="I28" s="131"/>
      <c r="J28" s="131"/>
    </row>
    <row r="29" spans="1:10" ht="15" x14ac:dyDescent="0.25">
      <c r="A29" s="131"/>
      <c r="B29" s="131"/>
      <c r="C29" s="131"/>
      <c r="D29" s="131"/>
      <c r="E29" s="132"/>
      <c r="F29" s="132"/>
      <c r="G29" s="131"/>
      <c r="H29" s="131"/>
      <c r="I29" s="131"/>
      <c r="J29" s="131"/>
    </row>
    <row r="30" spans="1:10" ht="15.75" x14ac:dyDescent="0.25">
      <c r="B30" s="230" t="s">
        <v>159</v>
      </c>
      <c r="C30" s="130"/>
    </row>
    <row r="31" spans="1:10" ht="15" x14ac:dyDescent="0.25">
      <c r="B31" s="131"/>
      <c r="C31" s="131"/>
      <c r="D31" s="131"/>
      <c r="E31" s="131"/>
      <c r="F31" s="131"/>
    </row>
    <row r="32" spans="1:10" ht="15.75" thickBot="1" x14ac:dyDescent="0.3">
      <c r="B32" s="151" t="s">
        <v>211</v>
      </c>
      <c r="C32" s="131"/>
      <c r="D32" s="131"/>
      <c r="E32" s="131"/>
      <c r="F32" s="131"/>
    </row>
    <row r="33" spans="1:8" ht="15.75" thickBot="1" x14ac:dyDescent="0.3">
      <c r="B33" s="141" t="s">
        <v>12</v>
      </c>
      <c r="C33" s="145" t="s">
        <v>13</v>
      </c>
      <c r="D33" s="146" t="s">
        <v>14</v>
      </c>
      <c r="E33" s="147" t="s">
        <v>138</v>
      </c>
      <c r="F33" s="131"/>
    </row>
    <row r="34" spans="1:8" ht="15" x14ac:dyDescent="0.25">
      <c r="B34" s="142" t="s">
        <v>160</v>
      </c>
      <c r="C34" s="459">
        <f>IF($E$6="No",0,'Project Data Input'!L25)</f>
        <v>0</v>
      </c>
      <c r="D34" s="139" t="s">
        <v>161</v>
      </c>
      <c r="E34" s="148" t="s">
        <v>170</v>
      </c>
      <c r="F34" s="131"/>
    </row>
    <row r="35" spans="1:8" ht="15" x14ac:dyDescent="0.25">
      <c r="B35" s="143" t="s">
        <v>162</v>
      </c>
      <c r="C35" s="460">
        <f>'Project Data Input'!L26</f>
        <v>0</v>
      </c>
      <c r="D35" s="137"/>
      <c r="E35" s="149" t="s">
        <v>170</v>
      </c>
      <c r="F35" s="131"/>
    </row>
    <row r="36" spans="1:8" ht="15" x14ac:dyDescent="0.25">
      <c r="B36" s="143" t="s">
        <v>163</v>
      </c>
      <c r="C36" s="497">
        <v>4</v>
      </c>
      <c r="D36" s="137" t="s">
        <v>248</v>
      </c>
      <c r="E36" s="149" t="s">
        <v>172</v>
      </c>
      <c r="F36" s="131"/>
    </row>
    <row r="37" spans="1:8" ht="15" x14ac:dyDescent="0.25">
      <c r="B37" s="143" t="s">
        <v>165</v>
      </c>
      <c r="C37" s="497">
        <v>50</v>
      </c>
      <c r="D37" s="137" t="s">
        <v>164</v>
      </c>
      <c r="E37" s="149" t="s">
        <v>171</v>
      </c>
      <c r="F37" s="131"/>
    </row>
    <row r="38" spans="1:8" ht="15.75" thickBot="1" x14ac:dyDescent="0.3">
      <c r="B38" s="144" t="s">
        <v>166</v>
      </c>
      <c r="C38" s="498">
        <v>1.5E-3</v>
      </c>
      <c r="D38" s="138" t="s">
        <v>167</v>
      </c>
      <c r="E38" s="150" t="s">
        <v>171</v>
      </c>
      <c r="F38" s="132"/>
    </row>
    <row r="39" spans="1:8" ht="15" x14ac:dyDescent="0.25">
      <c r="B39" s="131"/>
      <c r="C39" s="131"/>
      <c r="D39" s="131"/>
      <c r="E39" s="131"/>
      <c r="F39" s="132"/>
    </row>
    <row r="40" spans="1:8" ht="15.75" thickBot="1" x14ac:dyDescent="0.3">
      <c r="B40" s="151" t="s">
        <v>212</v>
      </c>
      <c r="C40" s="131"/>
      <c r="D40" s="131"/>
      <c r="E40" s="131"/>
      <c r="F40" s="132"/>
    </row>
    <row r="41" spans="1:8" ht="15.75" thickBot="1" x14ac:dyDescent="0.3">
      <c r="A41" s="397"/>
      <c r="B41" s="141" t="s">
        <v>157</v>
      </c>
      <c r="C41" s="155" t="s">
        <v>64</v>
      </c>
      <c r="D41" s="156" t="s">
        <v>63</v>
      </c>
      <c r="E41" s="141" t="s">
        <v>158</v>
      </c>
      <c r="F41" s="133"/>
    </row>
    <row r="42" spans="1:8" ht="15" x14ac:dyDescent="0.25">
      <c r="A42" s="397"/>
      <c r="B42" s="153" t="s">
        <v>151</v>
      </c>
      <c r="C42" s="499" t="e">
        <f>IF(C$34&lt;75,VLOOKUP('Equipment Data'!C$35,'Conversions and EF'!C$73:H$75,2,FALSE),IF(C$34&lt;100,VLOOKUP('Equipment Data'!C$35,'Conversions and EF'!C$76:H$78,2,FALSE),IF(C$34&lt;175,VLOOKUP('Equipment Data'!C$35,'Conversions and EF'!C$79:H$81,2,FALSE),IF(C$34&lt;300,VLOOKUP('Equipment Data'!C$35,'Conversions and EF'!C$82:H$84,2,FALSE),VLOOKUP('Equipment Data'!C$35,'Conversions and EF'!C$85:H$87,2,FALSE)))))</f>
        <v>#N/A</v>
      </c>
      <c r="D42" s="135" t="s">
        <v>168</v>
      </c>
      <c r="E42" s="471" t="e">
        <f>$C$34*$C$36*C42/454</f>
        <v>#N/A</v>
      </c>
      <c r="F42" s="469"/>
      <c r="G42" s="397"/>
      <c r="H42" s="397"/>
    </row>
    <row r="43" spans="1:8" ht="15" x14ac:dyDescent="0.25">
      <c r="A43" s="397"/>
      <c r="B43" s="153" t="s">
        <v>153</v>
      </c>
      <c r="C43" s="499" t="e">
        <f>IF(C$34&lt;75,VLOOKUP('Equipment Data'!C$35,'Conversions and EF'!C$73:H$75,3,FALSE),IF(C$34&lt;100,VLOOKUP('Equipment Data'!C$35,'Conversions and EF'!C$76:H$78,3,FALSE),IF(C$34&lt;175,VLOOKUP('Equipment Data'!C$35,'Conversions and EF'!C$79:H$81,3,FALSE),IF(C$34&lt;300,VLOOKUP('Equipment Data'!C$35,'Conversions and EF'!C$82:H$84,3,FALSE),VLOOKUP('Equipment Data'!C$35,'Conversions and EF'!C$85:H$87,3,FALSE)))))</f>
        <v>#N/A</v>
      </c>
      <c r="D43" s="135" t="s">
        <v>168</v>
      </c>
      <c r="E43" s="471" t="e">
        <f>$C$34*$C$36*C43/454</f>
        <v>#N/A</v>
      </c>
      <c r="F43" s="136"/>
    </row>
    <row r="44" spans="1:8" ht="15" x14ac:dyDescent="0.25">
      <c r="B44" s="153" t="s">
        <v>154</v>
      </c>
      <c r="C44" s="499" t="e">
        <f>IF(C$34&lt;75,VLOOKUP('Equipment Data'!C$35,'Conversions and EF'!C$73:H$75,4,FALSE),IF(C$34&lt;100,VLOOKUP('Equipment Data'!C$35,'Conversions and EF'!C$76:H$78,4,FALSE),IF(C$34&lt;175,VLOOKUP('Equipment Data'!C$35,'Conversions and EF'!C$79:H$81,4,FALSE),IF(C$34&lt;300,VLOOKUP('Equipment Data'!C$35,'Conversions and EF'!C$82:H$84,4,FALSE),VLOOKUP('Equipment Data'!C$35,'Conversions and EF'!C$85:H$87,4,FALSE)))))</f>
        <v>#N/A</v>
      </c>
      <c r="D44" s="135" t="s">
        <v>168</v>
      </c>
      <c r="E44" s="471" t="e">
        <f>$C$34*$C$36*C44/454</f>
        <v>#N/A</v>
      </c>
      <c r="F44" s="134"/>
    </row>
    <row r="45" spans="1:8" ht="15" x14ac:dyDescent="0.25">
      <c r="B45" s="153" t="s">
        <v>155</v>
      </c>
      <c r="C45" s="499" t="e">
        <f>IF(C$34&lt;75,VLOOKUP('Equipment Data'!C$35,'Conversions and EF'!C$73:H$75,5,FALSE),IF(C$34&lt;100,VLOOKUP('Equipment Data'!C$35,'Conversions and EF'!C$76:H$78,5,FALSE),IF(C$34&lt;175,VLOOKUP('Equipment Data'!C$35,'Conversions and EF'!C$79:H$81,5,FALSE),IF(C$34&lt;300,VLOOKUP('Equipment Data'!C$35,'Conversions and EF'!C$82:H$84,5,FALSE),VLOOKUP('Equipment Data'!C$35,'Conversions and EF'!C$85:H$87,5,FALSE)))))</f>
        <v>#N/A</v>
      </c>
      <c r="D45" s="135" t="s">
        <v>168</v>
      </c>
      <c r="E45" s="471" t="e">
        <f>$C$34*$C$36*C45/454</f>
        <v>#N/A</v>
      </c>
      <c r="F45" s="134"/>
    </row>
    <row r="46" spans="1:8" ht="15.75" thickBot="1" x14ac:dyDescent="0.3">
      <c r="B46" s="154" t="s">
        <v>156</v>
      </c>
      <c r="C46" s="500" t="e">
        <f>IF(C$34&lt;75,VLOOKUP('Equipment Data'!C$35,'Conversions and EF'!C$73:H$75,6,FALSE),IF(C$34&lt;100,VLOOKUP('Equipment Data'!C$35,'Conversions and EF'!C$76:H$78,6,FALSE),IF(C$34&lt;175,VLOOKUP('Equipment Data'!C$35,'Conversions and EF'!C$79:H$81,6,FALSE),IF(C$34&lt;300,VLOOKUP('Equipment Data'!C$35,'Conversions and EF'!C$82:H$84,6,FALSE),VLOOKUP('Equipment Data'!C$35,'Conversions and EF'!C$85:H$87,6,FALSE)))))</f>
        <v>#N/A</v>
      </c>
      <c r="D46" s="470" t="s">
        <v>168</v>
      </c>
      <c r="E46" s="472" t="e">
        <f>$C$34*$C$36*C46/454</f>
        <v>#N/A</v>
      </c>
      <c r="F46" s="134"/>
    </row>
    <row r="47" spans="1:8" ht="15" x14ac:dyDescent="0.25">
      <c r="B47" s="131"/>
      <c r="C47" s="131"/>
      <c r="D47" s="131"/>
      <c r="E47" s="131"/>
      <c r="F47" s="132"/>
    </row>
    <row r="48" spans="1:8" x14ac:dyDescent="0.2">
      <c r="B48" s="231"/>
    </row>
  </sheetData>
  <sheetProtection algorithmName="SHA-512" hashValue="DPXx8kLdojrnZptREEqW5x11isaNt4cO5ZOfNohek3XDfCiVP8NUz3HHANnKFUQjdlx4MnNq+5v4cfnlQ6rm3A==" saltValue="9+0I/+WGNebFtNkDY+lk3Q==" spinCount="100000" sheet="1" objects="1" scenarios="1"/>
  <mergeCells count="8">
    <mergeCell ref="B4:D4"/>
    <mergeCell ref="B5:D5"/>
    <mergeCell ref="B6:D6"/>
    <mergeCell ref="E15:F15"/>
    <mergeCell ref="E17:F17"/>
    <mergeCell ref="B10:D10"/>
    <mergeCell ref="B11:D11"/>
    <mergeCell ref="B12:D12"/>
  </mergeCells>
  <dataValidations count="1">
    <dataValidation type="list" allowBlank="1" showInputMessage="1" showErrorMessage="1" sqref="E4:E6">
      <formula1>YesNo</formula1>
    </dataValidation>
  </dataValidations>
  <pageMargins left="0.75" right="0.75" top="1" bottom="1" header="0.5" footer="0.5"/>
  <pageSetup scale="8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O18"/>
  <sheetViews>
    <sheetView workbookViewId="0">
      <selection activeCell="C9" sqref="C9"/>
    </sheetView>
  </sheetViews>
  <sheetFormatPr defaultRowHeight="15" x14ac:dyDescent="0.25"/>
  <cols>
    <col min="2" max="2" width="21.7109375" customWidth="1"/>
    <col min="3" max="3" width="17.5703125" customWidth="1"/>
    <col min="4" max="4" width="18.42578125" customWidth="1"/>
    <col min="5" max="5" width="15.140625" customWidth="1"/>
    <col min="10" max="10" width="12.7109375" customWidth="1"/>
    <col min="11" max="11" width="25.5703125" customWidth="1"/>
    <col min="13" max="13" width="21" customWidth="1"/>
    <col min="14" max="14" width="15.7109375" customWidth="1"/>
  </cols>
  <sheetData>
    <row r="1" spans="2:15" x14ac:dyDescent="0.25">
      <c r="J1" s="23"/>
      <c r="K1" s="23"/>
      <c r="L1" s="23"/>
      <c r="M1" s="23"/>
      <c r="N1" s="23"/>
      <c r="O1" s="23"/>
    </row>
    <row r="2" spans="2:15" ht="18.75" x14ac:dyDescent="0.3">
      <c r="B2" s="294" t="s">
        <v>173</v>
      </c>
      <c r="J2" s="249"/>
      <c r="K2" s="249"/>
      <c r="L2" s="249"/>
      <c r="M2" s="249"/>
      <c r="N2" s="249"/>
      <c r="O2" s="249"/>
    </row>
    <row r="3" spans="2:15" ht="15.75" thickBot="1" x14ac:dyDescent="0.3">
      <c r="J3" s="23"/>
      <c r="K3" s="249"/>
      <c r="L3" s="249"/>
      <c r="M3" s="249"/>
      <c r="N3" s="249"/>
      <c r="O3" s="249"/>
    </row>
    <row r="4" spans="2:15" x14ac:dyDescent="0.25">
      <c r="B4" s="629" t="s">
        <v>260</v>
      </c>
      <c r="C4" s="630"/>
      <c r="D4" s="631"/>
      <c r="E4" s="461" t="str">
        <f>'Project Data Input'!N12</f>
        <v>Yes</v>
      </c>
      <c r="J4" s="23"/>
      <c r="K4" s="249"/>
      <c r="L4" s="249"/>
      <c r="M4" s="249"/>
      <c r="N4" s="249"/>
      <c r="O4" s="249"/>
    </row>
    <row r="5" spans="2:15" x14ac:dyDescent="0.25">
      <c r="B5" s="589" t="s">
        <v>261</v>
      </c>
      <c r="C5" s="632"/>
      <c r="D5" s="633"/>
      <c r="E5" s="462" t="str">
        <f>'Project Data Input'!N13</f>
        <v>Natural Gas</v>
      </c>
      <c r="J5" s="23"/>
      <c r="K5" s="249"/>
      <c r="L5" s="249"/>
      <c r="M5" s="249"/>
      <c r="N5" s="249"/>
      <c r="O5" s="249"/>
    </row>
    <row r="6" spans="2:15" ht="15.75" thickBot="1" x14ac:dyDescent="0.3">
      <c r="B6" s="634" t="s">
        <v>176</v>
      </c>
      <c r="C6" s="635"/>
      <c r="D6" s="636"/>
      <c r="E6" s="463" t="str">
        <f>'Project Data Input'!N14</f>
        <v>Yes</v>
      </c>
      <c r="J6" s="23"/>
      <c r="K6" s="250"/>
      <c r="L6" s="23"/>
      <c r="M6" s="23"/>
      <c r="N6" s="23"/>
      <c r="O6" s="23"/>
    </row>
    <row r="8" spans="2:15" ht="15.75" thickBot="1" x14ac:dyDescent="0.3">
      <c r="B8" s="1" t="s">
        <v>183</v>
      </c>
    </row>
    <row r="9" spans="2:15" ht="15.75" thickBot="1" x14ac:dyDescent="0.3">
      <c r="B9" s="68" t="s">
        <v>230</v>
      </c>
      <c r="C9" s="177" t="s">
        <v>13</v>
      </c>
      <c r="D9" s="27" t="s">
        <v>14</v>
      </c>
    </row>
    <row r="10" spans="2:15" x14ac:dyDescent="0.25">
      <c r="B10" s="173" t="s">
        <v>194</v>
      </c>
      <c r="C10" s="464">
        <f>'Equipment Data'!C19</f>
        <v>0</v>
      </c>
      <c r="D10" s="176" t="s">
        <v>145</v>
      </c>
    </row>
    <row r="11" spans="2:15" ht="15.75" thickBot="1" x14ac:dyDescent="0.3">
      <c r="B11" s="178" t="s">
        <v>64</v>
      </c>
      <c r="C11" s="493">
        <f>IF('Equipment Data'!E5="natural gas",'Conversions and EF'!C67,'Conversions and EF'!C68)</f>
        <v>136.05000000000001</v>
      </c>
      <c r="D11" s="179" t="s">
        <v>181</v>
      </c>
    </row>
    <row r="12" spans="2:15" ht="15.75" thickBot="1" x14ac:dyDescent="0.3">
      <c r="B12" s="181" t="s">
        <v>192</v>
      </c>
      <c r="C12" s="468">
        <f>C10*C11/'Conversions and EF'!D8</f>
        <v>0</v>
      </c>
      <c r="D12" s="180" t="s">
        <v>193</v>
      </c>
    </row>
    <row r="13" spans="2:15" ht="15.75" thickBot="1" x14ac:dyDescent="0.3"/>
    <row r="14" spans="2:15" ht="15.75" thickBot="1" x14ac:dyDescent="0.3">
      <c r="B14" s="68" t="s">
        <v>195</v>
      </c>
      <c r="C14" s="177" t="s">
        <v>13</v>
      </c>
      <c r="D14" s="27" t="s">
        <v>14</v>
      </c>
    </row>
    <row r="15" spans="2:15" x14ac:dyDescent="0.25">
      <c r="B15" s="32" t="s">
        <v>160</v>
      </c>
      <c r="C15" s="447">
        <f>'Equipment Data'!C34</f>
        <v>0</v>
      </c>
      <c r="D15" s="110" t="s">
        <v>161</v>
      </c>
    </row>
    <row r="16" spans="2:15" x14ac:dyDescent="0.25">
      <c r="B16" s="33" t="s">
        <v>64</v>
      </c>
      <c r="C16" s="43">
        <f>'Conversions and EF'!C69</f>
        <v>556.6</v>
      </c>
      <c r="D16" s="18" t="s">
        <v>182</v>
      </c>
    </row>
    <row r="17" spans="2:4" ht="15.75" thickBot="1" x14ac:dyDescent="0.3">
      <c r="B17" s="178" t="s">
        <v>165</v>
      </c>
      <c r="C17" s="493">
        <f>'Equipment Data'!C37</f>
        <v>50</v>
      </c>
      <c r="D17" s="182" t="s">
        <v>164</v>
      </c>
    </row>
    <row r="18" spans="2:4" ht="15.75" thickBot="1" x14ac:dyDescent="0.3">
      <c r="B18" s="181" t="s">
        <v>192</v>
      </c>
      <c r="C18" s="441">
        <f>C15*C16*C17/'Conversions and EF'!D9</f>
        <v>0</v>
      </c>
      <c r="D18" s="183" t="s">
        <v>193</v>
      </c>
    </row>
  </sheetData>
  <sheetProtection algorithmName="SHA-512" hashValue="OMhRCYORVD9bEqh3ZCnD/QA4G7UST2COgyUCllXEeN/znPiK/M5L6l2Xvb3AD1MwWOwXnq/7KgiVsfpuLppTjg==" saltValue="GkrGK98Wf9kX1tmrZKNl8w==" spinCount="100000" sheet="1" objects="1" scenarios="1"/>
  <mergeCells count="3">
    <mergeCell ref="B6:D6"/>
    <mergeCell ref="B4:D4"/>
    <mergeCell ref="B5:D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96"/>
  <sheetViews>
    <sheetView zoomScaleNormal="100" workbookViewId="0">
      <selection activeCell="G33" sqref="G33"/>
    </sheetView>
  </sheetViews>
  <sheetFormatPr defaultRowHeight="15" x14ac:dyDescent="0.25"/>
  <cols>
    <col min="1" max="1" width="3.140625" customWidth="1"/>
    <col min="2" max="2" width="20.140625" customWidth="1"/>
    <col min="3" max="3" width="14.7109375" customWidth="1"/>
    <col min="4" max="4" width="26.42578125" customWidth="1"/>
    <col min="5" max="5" width="18.28515625" customWidth="1"/>
    <col min="6" max="6" width="16.28515625" customWidth="1"/>
    <col min="7" max="7" width="22" customWidth="1"/>
    <col min="8" max="8" width="14.5703125" customWidth="1"/>
    <col min="9" max="9" width="12.140625" customWidth="1"/>
    <col min="14" max="14" width="13.7109375" customWidth="1"/>
    <col min="15" max="15" width="19.7109375" customWidth="1"/>
    <col min="16" max="16" width="9.42578125" customWidth="1"/>
    <col min="18" max="18" width="9.5703125" bestFit="1" customWidth="1"/>
    <col min="19" max="19" width="10.5703125" bestFit="1" customWidth="1"/>
  </cols>
  <sheetData>
    <row r="2" spans="2:8" ht="18.75" x14ac:dyDescent="0.3">
      <c r="B2" s="294" t="s">
        <v>216</v>
      </c>
    </row>
    <row r="4" spans="2:8" ht="15.75" thickBot="1" x14ac:dyDescent="0.3">
      <c r="B4" s="1" t="s">
        <v>188</v>
      </c>
    </row>
    <row r="5" spans="2:8" ht="15.75" thickBot="1" x14ac:dyDescent="0.3">
      <c r="B5" s="253" t="s">
        <v>13</v>
      </c>
      <c r="C5" s="254" t="s">
        <v>14</v>
      </c>
      <c r="D5" s="254" t="s">
        <v>13</v>
      </c>
      <c r="E5" s="255" t="s">
        <v>14</v>
      </c>
    </row>
    <row r="6" spans="2:8" ht="15.75" thickBot="1" x14ac:dyDescent="0.3">
      <c r="B6" s="175">
        <v>1</v>
      </c>
      <c r="C6" s="256" t="s">
        <v>189</v>
      </c>
      <c r="D6" s="256">
        <v>365</v>
      </c>
      <c r="E6" s="257" t="s">
        <v>27</v>
      </c>
      <c r="G6" s="62" t="s">
        <v>239</v>
      </c>
    </row>
    <row r="7" spans="2:8" x14ac:dyDescent="0.25">
      <c r="B7" s="218">
        <v>1</v>
      </c>
      <c r="C7" s="217" t="s">
        <v>190</v>
      </c>
      <c r="D7" s="217">
        <v>24</v>
      </c>
      <c r="E7" s="22" t="s">
        <v>191</v>
      </c>
      <c r="G7" s="66" t="s">
        <v>89</v>
      </c>
      <c r="H7" s="436" t="s">
        <v>6</v>
      </c>
    </row>
    <row r="8" spans="2:8" x14ac:dyDescent="0.25">
      <c r="B8" s="218">
        <v>1</v>
      </c>
      <c r="C8" s="217" t="s">
        <v>186</v>
      </c>
      <c r="D8" s="217">
        <v>2204.62</v>
      </c>
      <c r="E8" s="22" t="s">
        <v>187</v>
      </c>
      <c r="G8" s="33" t="s">
        <v>88</v>
      </c>
      <c r="H8" s="64">
        <f>52*2</f>
        <v>104</v>
      </c>
    </row>
    <row r="9" spans="2:8" x14ac:dyDescent="0.25">
      <c r="B9" s="218">
        <v>1</v>
      </c>
      <c r="C9" s="217" t="s">
        <v>186</v>
      </c>
      <c r="D9" s="217">
        <v>1000000</v>
      </c>
      <c r="E9" s="22" t="s">
        <v>196</v>
      </c>
      <c r="G9" s="33" t="s">
        <v>87</v>
      </c>
      <c r="H9" s="64">
        <f>365-H8</f>
        <v>261</v>
      </c>
    </row>
    <row r="10" spans="2:8" ht="15.75" thickBot="1" x14ac:dyDescent="0.3">
      <c r="B10" s="218">
        <v>1</v>
      </c>
      <c r="C10" s="217" t="s">
        <v>236</v>
      </c>
      <c r="D10" s="217">
        <v>1000000</v>
      </c>
      <c r="E10" s="22" t="s">
        <v>235</v>
      </c>
      <c r="G10" s="34" t="s">
        <v>118</v>
      </c>
      <c r="H10" s="65">
        <f>H8+H9</f>
        <v>365</v>
      </c>
    </row>
    <row r="11" spans="2:8" x14ac:dyDescent="0.25">
      <c r="B11" s="438">
        <v>1</v>
      </c>
      <c r="C11" s="206" t="s">
        <v>215</v>
      </c>
      <c r="D11" s="206">
        <v>2000</v>
      </c>
      <c r="E11" s="207" t="s">
        <v>187</v>
      </c>
    </row>
    <row r="12" spans="2:8" ht="15.75" thickBot="1" x14ac:dyDescent="0.3">
      <c r="B12" s="258">
        <v>1</v>
      </c>
      <c r="C12" s="259" t="s">
        <v>116</v>
      </c>
      <c r="D12" s="259">
        <v>1000</v>
      </c>
      <c r="E12" s="260" t="s">
        <v>0</v>
      </c>
    </row>
    <row r="14" spans="2:8" ht="15.75" thickBot="1" x14ac:dyDescent="0.3">
      <c r="B14" s="1" t="s">
        <v>208</v>
      </c>
    </row>
    <row r="15" spans="2:8" ht="15.75" thickBot="1" x14ac:dyDescent="0.3">
      <c r="B15" s="68" t="s">
        <v>61</v>
      </c>
      <c r="C15" s="233" t="s">
        <v>31</v>
      </c>
      <c r="D15" s="234" t="s">
        <v>32</v>
      </c>
      <c r="E15" s="235" t="s">
        <v>14</v>
      </c>
      <c r="F15" s="236" t="s">
        <v>33</v>
      </c>
    </row>
    <row r="16" spans="2:8" x14ac:dyDescent="0.25">
      <c r="B16" s="208" t="s">
        <v>34</v>
      </c>
      <c r="C16" s="209">
        <v>6.2</v>
      </c>
      <c r="D16" s="210">
        <v>2.5</v>
      </c>
      <c r="E16" s="211" t="s">
        <v>35</v>
      </c>
      <c r="F16" s="212" t="s">
        <v>36</v>
      </c>
    </row>
    <row r="17" spans="2:6" ht="15.75" thickBot="1" x14ac:dyDescent="0.3">
      <c r="B17" s="116" t="s">
        <v>37</v>
      </c>
      <c r="C17" s="290">
        <f>(C33)*(C31)*(C29)*1000</f>
        <v>27.828084922860263</v>
      </c>
      <c r="D17" s="291">
        <f>(C33)*(C32)*(C30)*1000</f>
        <v>25.830996893532074</v>
      </c>
      <c r="E17" s="213" t="s">
        <v>38</v>
      </c>
      <c r="F17" s="214" t="s">
        <v>39</v>
      </c>
    </row>
    <row r="18" spans="2:6" ht="15.75" thickBot="1" x14ac:dyDescent="0.3">
      <c r="B18" s="115"/>
      <c r="C18" s="508"/>
      <c r="D18" s="508"/>
      <c r="E18" s="115"/>
      <c r="F18" s="115"/>
    </row>
    <row r="19" spans="2:6" ht="15.75" thickBot="1" x14ac:dyDescent="0.3">
      <c r="B19" s="109" t="s">
        <v>133</v>
      </c>
      <c r="C19" s="111" t="s">
        <v>13</v>
      </c>
      <c r="D19" s="502" t="s">
        <v>14</v>
      </c>
      <c r="E19" s="115"/>
      <c r="F19" s="115"/>
    </row>
    <row r="20" spans="2:6" x14ac:dyDescent="0.25">
      <c r="B20" s="66" t="s">
        <v>74</v>
      </c>
      <c r="C20" s="113">
        <f>6303*'Conversions and EF'!C27</f>
        <v>882.42000000000007</v>
      </c>
      <c r="D20" s="110" t="s">
        <v>121</v>
      </c>
      <c r="E20" s="115"/>
      <c r="F20" s="115"/>
    </row>
    <row r="21" spans="2:6" ht="15.75" thickBot="1" x14ac:dyDescent="0.3">
      <c r="B21" s="34" t="s">
        <v>75</v>
      </c>
      <c r="C21" s="114">
        <f>6303*'Conversions and EF'!C28</f>
        <v>819.39</v>
      </c>
      <c r="D21" s="19" t="s">
        <v>122</v>
      </c>
      <c r="E21" s="115"/>
      <c r="F21" s="115"/>
    </row>
    <row r="22" spans="2:6" ht="15.75" thickBot="1" x14ac:dyDescent="0.3">
      <c r="B22" s="77"/>
      <c r="C22" s="77"/>
      <c r="D22" s="77"/>
      <c r="E22" s="77"/>
      <c r="F22" s="77"/>
    </row>
    <row r="23" spans="2:6" x14ac:dyDescent="0.25">
      <c r="B23" s="295"/>
      <c r="C23" s="296" t="s">
        <v>13</v>
      </c>
      <c r="D23" s="297" t="s">
        <v>14</v>
      </c>
      <c r="E23" s="298" t="s">
        <v>205</v>
      </c>
      <c r="F23" s="77"/>
    </row>
    <row r="24" spans="2:6" x14ac:dyDescent="0.25">
      <c r="B24" s="246" t="s">
        <v>43</v>
      </c>
      <c r="C24" s="241">
        <v>0.79</v>
      </c>
      <c r="D24" s="237"/>
      <c r="E24" s="238" t="s">
        <v>44</v>
      </c>
      <c r="F24" s="77"/>
    </row>
    <row r="25" spans="2:6" x14ac:dyDescent="0.25">
      <c r="B25" s="246" t="s">
        <v>45</v>
      </c>
      <c r="C25" s="241">
        <v>8.34</v>
      </c>
      <c r="D25" s="237" t="s">
        <v>46</v>
      </c>
      <c r="E25" s="238" t="s">
        <v>47</v>
      </c>
      <c r="F25" s="77"/>
    </row>
    <row r="26" spans="2:6" x14ac:dyDescent="0.25">
      <c r="B26" s="246" t="s">
        <v>48</v>
      </c>
      <c r="C26" s="242">
        <f>C24*C25</f>
        <v>6.5886000000000005</v>
      </c>
      <c r="D26" s="237" t="s">
        <v>46</v>
      </c>
      <c r="E26" s="238" t="s">
        <v>49</v>
      </c>
      <c r="F26" s="77"/>
    </row>
    <row r="27" spans="2:6" x14ac:dyDescent="0.25">
      <c r="B27" s="246" t="s">
        <v>50</v>
      </c>
      <c r="C27" s="243">
        <v>0.14000000000000001</v>
      </c>
      <c r="D27" s="237" t="s">
        <v>51</v>
      </c>
      <c r="E27" s="238" t="s">
        <v>52</v>
      </c>
      <c r="F27" s="77"/>
    </row>
    <row r="28" spans="2:6" x14ac:dyDescent="0.25">
      <c r="B28" s="246" t="s">
        <v>53</v>
      </c>
      <c r="C28" s="243">
        <v>0.13</v>
      </c>
      <c r="D28" s="237" t="s">
        <v>51</v>
      </c>
      <c r="E28" s="238" t="s">
        <v>52</v>
      </c>
      <c r="F28" s="77"/>
    </row>
    <row r="29" spans="2:6" x14ac:dyDescent="0.25">
      <c r="B29" s="246" t="s">
        <v>54</v>
      </c>
      <c r="C29" s="244">
        <f>(C27*$C$26)/((C27*$C$26)+(1-C27)*C25)</f>
        <v>0.11395013393777047</v>
      </c>
      <c r="D29" s="237" t="s">
        <v>55</v>
      </c>
      <c r="E29" s="238" t="s">
        <v>49</v>
      </c>
      <c r="F29" s="77"/>
    </row>
    <row r="30" spans="2:6" x14ac:dyDescent="0.25">
      <c r="B30" s="246" t="s">
        <v>56</v>
      </c>
      <c r="C30" s="244">
        <f>(C28*$C$26)/((C28*$C$26)+(1-C28)*C25)</f>
        <v>0.10558239950652823</v>
      </c>
      <c r="D30" s="237" t="s">
        <v>55</v>
      </c>
      <c r="E30" s="238" t="s">
        <v>49</v>
      </c>
      <c r="F30" s="77"/>
    </row>
    <row r="31" spans="2:6" x14ac:dyDescent="0.25">
      <c r="B31" s="246" t="s">
        <v>57</v>
      </c>
      <c r="C31" s="242">
        <f>(C26*C29)+(C25*(1-C29))</f>
        <v>8.1404277354213885</v>
      </c>
      <c r="D31" s="237" t="s">
        <v>46</v>
      </c>
      <c r="E31" s="238" t="s">
        <v>49</v>
      </c>
      <c r="F31" s="77"/>
    </row>
    <row r="32" spans="2:6" x14ac:dyDescent="0.25">
      <c r="B32" s="246" t="s">
        <v>58</v>
      </c>
      <c r="C32" s="242">
        <f>(C26*C30)+(C25*(1-C30))</f>
        <v>8.1550829855042668</v>
      </c>
      <c r="D32" s="237" t="s">
        <v>46</v>
      </c>
      <c r="E32" s="238" t="s">
        <v>49</v>
      </c>
      <c r="F32" s="77"/>
    </row>
    <row r="33" spans="2:19" ht="15.75" thickBot="1" x14ac:dyDescent="0.3">
      <c r="B33" s="247" t="s">
        <v>59</v>
      </c>
      <c r="C33" s="245">
        <v>0.03</v>
      </c>
      <c r="D33" s="239" t="s">
        <v>51</v>
      </c>
      <c r="E33" s="240" t="s">
        <v>60</v>
      </c>
      <c r="F33" s="77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2:19" x14ac:dyDescent="0.25"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2:19" x14ac:dyDescent="0.25">
      <c r="B35" s="215" t="s">
        <v>40</v>
      </c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2:19" x14ac:dyDescent="0.25">
      <c r="B36" s="216" t="s">
        <v>41</v>
      </c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2:19" x14ac:dyDescent="0.25">
      <c r="B37" s="216" t="s">
        <v>42</v>
      </c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2:19" x14ac:dyDescent="0.25">
      <c r="B38" s="216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2:19" x14ac:dyDescent="0.25">
      <c r="B39" s="216" t="s">
        <v>210</v>
      </c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2:19" x14ac:dyDescent="0.25"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2:19" ht="15.75" thickBot="1" x14ac:dyDescent="0.3">
      <c r="B41" s="151" t="s">
        <v>245</v>
      </c>
      <c r="C41" s="131"/>
      <c r="D41" s="131"/>
      <c r="E41" s="131"/>
      <c r="F41" s="13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2:19" ht="15.75" thickBot="1" x14ac:dyDescent="0.3">
      <c r="B42" s="639"/>
      <c r="C42" s="643" t="s">
        <v>177</v>
      </c>
      <c r="D42" s="643"/>
      <c r="E42" s="643"/>
      <c r="F42" s="644"/>
      <c r="G42" s="637" t="s">
        <v>14</v>
      </c>
      <c r="I42" s="21"/>
      <c r="J42" s="21"/>
      <c r="K42" s="21"/>
      <c r="L42" s="342"/>
      <c r="M42" s="397"/>
      <c r="N42" s="21"/>
      <c r="O42" s="21"/>
      <c r="P42" s="398"/>
      <c r="Q42" s="398"/>
      <c r="R42" s="21"/>
      <c r="S42" s="21"/>
    </row>
    <row r="43" spans="2:19" ht="15.75" thickBot="1" x14ac:dyDescent="0.3">
      <c r="B43" s="640"/>
      <c r="C43" s="352" t="s">
        <v>238</v>
      </c>
      <c r="D43" s="353" t="s">
        <v>149</v>
      </c>
      <c r="E43" s="354" t="s">
        <v>150</v>
      </c>
      <c r="F43" s="354" t="s">
        <v>147</v>
      </c>
      <c r="G43" s="638"/>
      <c r="I43" s="21"/>
      <c r="J43" s="21"/>
      <c r="K43" s="21"/>
      <c r="L43" s="342"/>
      <c r="M43" s="397"/>
      <c r="N43" s="21"/>
      <c r="O43" s="21"/>
      <c r="P43" s="398"/>
      <c r="Q43" s="398"/>
      <c r="R43" s="21"/>
      <c r="S43" s="21"/>
    </row>
    <row r="44" spans="2:19" ht="15.75" thickBot="1" x14ac:dyDescent="0.3">
      <c r="B44" s="355" t="s">
        <v>227</v>
      </c>
      <c r="C44" s="357">
        <v>75000</v>
      </c>
      <c r="D44" s="358">
        <v>400000</v>
      </c>
      <c r="E44" s="358">
        <v>2000000</v>
      </c>
      <c r="F44" s="359">
        <v>5000000</v>
      </c>
      <c r="G44" s="363" t="s">
        <v>229</v>
      </c>
      <c r="I44" s="21"/>
      <c r="J44" s="21"/>
      <c r="K44" s="21"/>
      <c r="L44" s="342"/>
      <c r="M44" s="397"/>
      <c r="N44" s="21"/>
      <c r="O44" s="21"/>
      <c r="P44" s="398"/>
      <c r="Q44" s="398"/>
      <c r="R44" s="21"/>
      <c r="S44" s="21"/>
    </row>
    <row r="45" spans="2:19" ht="15.75" thickBot="1" x14ac:dyDescent="0.3">
      <c r="B45" s="356" t="s">
        <v>228</v>
      </c>
      <c r="C45" s="360">
        <v>400000</v>
      </c>
      <c r="D45" s="361">
        <v>2000000</v>
      </c>
      <c r="E45" s="361">
        <v>5000000</v>
      </c>
      <c r="F45" s="362"/>
      <c r="G45" s="363" t="s">
        <v>229</v>
      </c>
      <c r="I45" s="21"/>
      <c r="J45" s="21"/>
      <c r="K45" s="21"/>
      <c r="L45" s="342"/>
      <c r="M45" s="397"/>
      <c r="N45" s="21"/>
      <c r="O45" s="21"/>
      <c r="P45" s="398"/>
      <c r="Q45" s="398"/>
      <c r="R45" s="21"/>
      <c r="S45" s="21"/>
    </row>
    <row r="46" spans="2:19" x14ac:dyDescent="0.25">
      <c r="B46" s="152" t="s">
        <v>151</v>
      </c>
      <c r="C46" s="221">
        <f>0.036*(55/30)</f>
        <v>6.5999999999999989E-2</v>
      </c>
      <c r="D46" s="159">
        <v>3.5999999999999997E-2</v>
      </c>
      <c r="E46" s="159">
        <v>3.5999999999999997E-2</v>
      </c>
      <c r="F46" s="159">
        <v>3.5999999999999997E-2</v>
      </c>
      <c r="G46" s="349" t="s">
        <v>152</v>
      </c>
      <c r="I46" s="21"/>
      <c r="J46" s="21"/>
      <c r="K46" s="21"/>
      <c r="L46" s="342"/>
      <c r="M46" s="399"/>
      <c r="N46" s="21"/>
      <c r="O46" s="21"/>
      <c r="P46" s="398"/>
      <c r="Q46" s="398"/>
      <c r="R46" s="21"/>
      <c r="S46" s="21"/>
    </row>
    <row r="47" spans="2:19" x14ac:dyDescent="0.25">
      <c r="B47" s="153" t="s">
        <v>153</v>
      </c>
      <c r="C47" s="474">
        <v>5.4000000000000003E-3</v>
      </c>
      <c r="D47" s="474">
        <v>5.4000000000000003E-3</v>
      </c>
      <c r="E47" s="474">
        <v>5.4000000000000003E-3</v>
      </c>
      <c r="F47" s="474">
        <v>5.4000000000000003E-3</v>
      </c>
      <c r="G47" s="349" t="s">
        <v>152</v>
      </c>
      <c r="I47" s="21"/>
      <c r="J47" s="21"/>
      <c r="K47" s="21"/>
      <c r="L47" s="342"/>
      <c r="M47" s="397"/>
      <c r="N47" s="21"/>
      <c r="O47" s="21"/>
      <c r="P47" s="398"/>
      <c r="Q47" s="21"/>
      <c r="R47" s="21"/>
      <c r="S47" s="21"/>
    </row>
    <row r="48" spans="2:19" x14ac:dyDescent="0.25">
      <c r="B48" s="153" t="s">
        <v>154</v>
      </c>
      <c r="C48" s="474">
        <v>3.9E-2</v>
      </c>
      <c r="D48" s="475">
        <v>0.29699999999999999</v>
      </c>
      <c r="E48" s="475">
        <v>0.29699999999999999</v>
      </c>
      <c r="F48" s="475">
        <v>0.29699999999999999</v>
      </c>
      <c r="G48" s="349" t="s">
        <v>152</v>
      </c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x14ac:dyDescent="0.25">
      <c r="B49" s="153" t="s">
        <v>155</v>
      </c>
      <c r="C49" s="477">
        <v>1.37E-2</v>
      </c>
      <c r="D49" s="478">
        <v>1.37E-2</v>
      </c>
      <c r="E49" s="478">
        <v>1.37E-2</v>
      </c>
      <c r="F49" s="478">
        <v>1.37E-2</v>
      </c>
      <c r="G49" s="349" t="s">
        <v>152</v>
      </c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ht="15.75" thickBot="1" x14ac:dyDescent="0.3">
      <c r="B50" s="154" t="s">
        <v>156</v>
      </c>
      <c r="C50" s="476">
        <v>7.4999999999999997E-3</v>
      </c>
      <c r="D50" s="476">
        <v>7.4999999999999997E-3</v>
      </c>
      <c r="E50" s="476">
        <v>7.4999999999999997E-3</v>
      </c>
      <c r="F50" s="476">
        <v>7.4999999999999997E-3</v>
      </c>
      <c r="G50" s="350" t="s">
        <v>152</v>
      </c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x14ac:dyDescent="0.25">
      <c r="A52" s="21"/>
      <c r="B52" s="419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ht="15.75" thickBot="1" x14ac:dyDescent="0.3">
      <c r="B53" s="151" t="s">
        <v>225</v>
      </c>
      <c r="C53" s="131"/>
      <c r="D53" s="131"/>
      <c r="E53" s="131"/>
      <c r="F53" s="131"/>
      <c r="G53" s="131"/>
      <c r="H53" s="13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ht="15.75" thickBot="1" x14ac:dyDescent="0.3">
      <c r="B54" s="639"/>
      <c r="C54" s="645" t="s">
        <v>178</v>
      </c>
      <c r="D54" s="643"/>
      <c r="E54" s="643"/>
      <c r="F54" s="644"/>
      <c r="G54" s="637" t="s">
        <v>14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ht="15.75" thickBot="1" x14ac:dyDescent="0.3">
      <c r="B55" s="641"/>
      <c r="C55" s="225" t="s">
        <v>148</v>
      </c>
      <c r="D55" s="227" t="s">
        <v>149</v>
      </c>
      <c r="E55" s="228" t="s">
        <v>150</v>
      </c>
      <c r="F55" s="228" t="s">
        <v>147</v>
      </c>
      <c r="G55" s="642"/>
    </row>
    <row r="56" spans="1:19" ht="15.75" thickBot="1" x14ac:dyDescent="0.3">
      <c r="B56" s="355" t="s">
        <v>227</v>
      </c>
      <c r="C56" s="357">
        <v>75000</v>
      </c>
      <c r="D56" s="358">
        <v>400000</v>
      </c>
      <c r="E56" s="358">
        <v>2000000</v>
      </c>
      <c r="F56" s="359">
        <v>5000000</v>
      </c>
      <c r="G56" s="395" t="s">
        <v>229</v>
      </c>
    </row>
    <row r="57" spans="1:19" ht="15.75" thickBot="1" x14ac:dyDescent="0.3">
      <c r="B57" s="356" t="s">
        <v>228</v>
      </c>
      <c r="C57" s="360">
        <v>400000</v>
      </c>
      <c r="D57" s="361">
        <v>2000000</v>
      </c>
      <c r="E57" s="361">
        <v>5000000</v>
      </c>
      <c r="F57" s="362"/>
      <c r="G57" s="396" t="s">
        <v>229</v>
      </c>
    </row>
    <row r="58" spans="1:19" x14ac:dyDescent="0.25">
      <c r="B58" s="152" t="s">
        <v>151</v>
      </c>
      <c r="C58" s="411">
        <f>0.036*(55/30)</f>
        <v>6.5999999999999989E-2</v>
      </c>
      <c r="D58" s="309">
        <v>3.5999999999999997E-2</v>
      </c>
      <c r="E58" s="309">
        <v>3.5999999999999997E-2</v>
      </c>
      <c r="F58" s="412">
        <v>3.5999999999999997E-2</v>
      </c>
      <c r="G58" s="336" t="s">
        <v>152</v>
      </c>
    </row>
    <row r="59" spans="1:19" x14ac:dyDescent="0.25">
      <c r="B59" s="153" t="s">
        <v>153</v>
      </c>
      <c r="C59" s="479">
        <v>5.4000000000000003E-3</v>
      </c>
      <c r="D59" s="480">
        <v>5.4000000000000003E-3</v>
      </c>
      <c r="E59" s="480">
        <v>5.4000000000000003E-3</v>
      </c>
      <c r="F59" s="481">
        <v>5.4000000000000003E-3</v>
      </c>
      <c r="G59" s="336" t="s">
        <v>152</v>
      </c>
    </row>
    <row r="60" spans="1:19" x14ac:dyDescent="0.25">
      <c r="B60" s="153" t="s">
        <v>154</v>
      </c>
      <c r="C60" s="479">
        <v>3.9E-2</v>
      </c>
      <c r="D60" s="482">
        <v>0.29699999999999999</v>
      </c>
      <c r="E60" s="482">
        <v>0.29699999999999999</v>
      </c>
      <c r="F60" s="483">
        <v>0.29699999999999999</v>
      </c>
      <c r="G60" s="336" t="s">
        <v>152</v>
      </c>
    </row>
    <row r="61" spans="1:19" x14ac:dyDescent="0.25">
      <c r="B61" s="153" t="s">
        <v>155</v>
      </c>
      <c r="C61" s="484">
        <v>1.7000000000000001E-2</v>
      </c>
      <c r="D61" s="485">
        <v>1.7000000000000001E-2</v>
      </c>
      <c r="E61" s="485">
        <v>1.7000000000000001E-2</v>
      </c>
      <c r="F61" s="486">
        <v>1.7000000000000001E-2</v>
      </c>
      <c r="G61" s="336" t="s">
        <v>152</v>
      </c>
    </row>
    <row r="62" spans="1:19" ht="15.75" thickBot="1" x14ac:dyDescent="0.3">
      <c r="B62" s="154" t="s">
        <v>156</v>
      </c>
      <c r="C62" s="413">
        <v>7.4999999999999997E-3</v>
      </c>
      <c r="D62" s="161">
        <v>7.4999999999999997E-3</v>
      </c>
      <c r="E62" s="161">
        <v>7.4999999999999997E-3</v>
      </c>
      <c r="F62" s="414">
        <v>7.4999999999999997E-3</v>
      </c>
      <c r="G62" s="337" t="s">
        <v>152</v>
      </c>
    </row>
    <row r="64" spans="1:19" ht="15.75" thickBot="1" x14ac:dyDescent="0.3">
      <c r="B64" s="1" t="s">
        <v>174</v>
      </c>
    </row>
    <row r="65" spans="2:9" ht="15.75" thickBot="1" x14ac:dyDescent="0.3">
      <c r="B65" s="28" t="s">
        <v>180</v>
      </c>
      <c r="C65" s="177" t="s">
        <v>64</v>
      </c>
      <c r="D65" s="27" t="s">
        <v>14</v>
      </c>
    </row>
    <row r="66" spans="2:9" x14ac:dyDescent="0.25">
      <c r="B66" s="32" t="s">
        <v>177</v>
      </c>
      <c r="C66" s="3">
        <v>117.1</v>
      </c>
      <c r="D66" s="110" t="s">
        <v>181</v>
      </c>
    </row>
    <row r="67" spans="2:9" x14ac:dyDescent="0.25">
      <c r="B67" s="33" t="s">
        <v>178</v>
      </c>
      <c r="C67" s="157">
        <v>136.05000000000001</v>
      </c>
      <c r="D67" s="18" t="s">
        <v>181</v>
      </c>
    </row>
    <row r="68" spans="2:9" x14ac:dyDescent="0.25">
      <c r="B68" s="627" t="s">
        <v>179</v>
      </c>
      <c r="C68" s="157">
        <v>163.61000000000001</v>
      </c>
      <c r="D68" s="18" t="s">
        <v>181</v>
      </c>
    </row>
    <row r="69" spans="2:9" ht="15.75" thickBot="1" x14ac:dyDescent="0.3">
      <c r="B69" s="628"/>
      <c r="C69" s="158">
        <v>556.6</v>
      </c>
      <c r="D69" s="19" t="s">
        <v>182</v>
      </c>
    </row>
    <row r="71" spans="2:9" ht="15.75" thickBot="1" x14ac:dyDescent="0.3">
      <c r="B71" s="151" t="s">
        <v>224</v>
      </c>
      <c r="C71" s="131"/>
      <c r="D71" s="131"/>
      <c r="E71" s="131"/>
      <c r="F71" s="131"/>
      <c r="G71" s="342"/>
      <c r="H71" s="342"/>
    </row>
    <row r="72" spans="2:9" ht="15.75" thickBot="1" x14ac:dyDescent="0.3">
      <c r="B72" s="224" t="s">
        <v>218</v>
      </c>
      <c r="C72" s="224" t="s">
        <v>246</v>
      </c>
      <c r="D72" s="225" t="s">
        <v>151</v>
      </c>
      <c r="E72" s="228" t="s">
        <v>153</v>
      </c>
      <c r="F72" s="228" t="s">
        <v>154</v>
      </c>
      <c r="G72" s="229" t="s">
        <v>233</v>
      </c>
      <c r="H72" s="226" t="s">
        <v>156</v>
      </c>
      <c r="I72" s="226" t="s">
        <v>14</v>
      </c>
    </row>
    <row r="73" spans="2:9" x14ac:dyDescent="0.25">
      <c r="B73" s="308" t="s">
        <v>220</v>
      </c>
      <c r="C73" s="315">
        <v>2</v>
      </c>
      <c r="D73" s="314">
        <v>5.2</v>
      </c>
      <c r="E73" s="309">
        <v>0.39960000000000001</v>
      </c>
      <c r="F73" s="328">
        <v>3.7</v>
      </c>
      <c r="G73" s="339">
        <f>$C$92</f>
        <v>5.5050000000000003E-3</v>
      </c>
      <c r="H73" s="310">
        <v>0.3</v>
      </c>
      <c r="I73" s="310" t="s">
        <v>182</v>
      </c>
    </row>
    <row r="74" spans="2:9" x14ac:dyDescent="0.25">
      <c r="B74" s="153"/>
      <c r="C74" s="316">
        <v>3</v>
      </c>
      <c r="D74" s="160">
        <v>3.3</v>
      </c>
      <c r="E74" s="160">
        <v>0.19980000000000001</v>
      </c>
      <c r="F74" s="329">
        <v>3.7</v>
      </c>
      <c r="G74" s="340">
        <f t="shared" ref="G74:G87" si="0">$C$92</f>
        <v>5.5050000000000003E-3</v>
      </c>
      <c r="H74" s="140">
        <v>0.3</v>
      </c>
      <c r="I74" s="140" t="s">
        <v>182</v>
      </c>
    </row>
    <row r="75" spans="2:9" ht="15.75" thickBot="1" x14ac:dyDescent="0.3">
      <c r="B75" s="154"/>
      <c r="C75" s="317">
        <v>4</v>
      </c>
      <c r="D75" s="161">
        <v>3.3</v>
      </c>
      <c r="E75" s="311">
        <v>0.19980000000000001</v>
      </c>
      <c r="F75" s="330">
        <v>3.7</v>
      </c>
      <c r="G75" s="341">
        <f t="shared" si="0"/>
        <v>5.5050000000000003E-3</v>
      </c>
      <c r="H75" s="162">
        <v>0.02</v>
      </c>
      <c r="I75" s="162" t="s">
        <v>182</v>
      </c>
    </row>
    <row r="76" spans="2:9" x14ac:dyDescent="0.25">
      <c r="B76" s="308" t="s">
        <v>221</v>
      </c>
      <c r="C76" s="315">
        <v>2</v>
      </c>
      <c r="D76" s="314">
        <v>5.2</v>
      </c>
      <c r="E76" s="309">
        <v>0.39960000000000001</v>
      </c>
      <c r="F76" s="331">
        <v>3.7</v>
      </c>
      <c r="G76" s="312">
        <f t="shared" si="0"/>
        <v>5.5050000000000003E-3</v>
      </c>
      <c r="H76" s="310">
        <v>0.3</v>
      </c>
      <c r="I76" s="310" t="s">
        <v>182</v>
      </c>
    </row>
    <row r="77" spans="2:9" x14ac:dyDescent="0.25">
      <c r="B77" s="153"/>
      <c r="C77" s="318">
        <v>3</v>
      </c>
      <c r="D77" s="160">
        <v>3.3</v>
      </c>
      <c r="E77" s="160">
        <v>0.19980000000000001</v>
      </c>
      <c r="F77" s="332">
        <v>3.7</v>
      </c>
      <c r="G77" s="222">
        <f t="shared" si="0"/>
        <v>5.5050000000000003E-3</v>
      </c>
      <c r="H77" s="140">
        <v>0.3</v>
      </c>
      <c r="I77" s="140" t="s">
        <v>182</v>
      </c>
    </row>
    <row r="78" spans="2:9" ht="15.75" thickBot="1" x14ac:dyDescent="0.3">
      <c r="B78" s="154"/>
      <c r="C78" s="319">
        <v>4</v>
      </c>
      <c r="D78" s="160">
        <v>0.3</v>
      </c>
      <c r="E78" s="325">
        <v>0.1399</v>
      </c>
      <c r="F78" s="333">
        <v>3.7</v>
      </c>
      <c r="G78" s="313">
        <f t="shared" si="0"/>
        <v>5.5050000000000003E-3</v>
      </c>
      <c r="H78" s="162">
        <v>0.01</v>
      </c>
      <c r="I78" s="162" t="s">
        <v>182</v>
      </c>
    </row>
    <row r="79" spans="2:9" x14ac:dyDescent="0.25">
      <c r="B79" s="308" t="s">
        <v>219</v>
      </c>
      <c r="C79" s="315">
        <v>2</v>
      </c>
      <c r="D79" s="314">
        <v>4.5</v>
      </c>
      <c r="E79" s="309">
        <v>0.39960000000000001</v>
      </c>
      <c r="F79" s="331">
        <v>3.7</v>
      </c>
      <c r="G79" s="312">
        <f t="shared" si="0"/>
        <v>5.5050000000000003E-3</v>
      </c>
      <c r="H79" s="310">
        <v>0.22</v>
      </c>
      <c r="I79" s="310" t="s">
        <v>182</v>
      </c>
    </row>
    <row r="80" spans="2:9" x14ac:dyDescent="0.25">
      <c r="B80" s="153"/>
      <c r="C80" s="318">
        <v>3</v>
      </c>
      <c r="D80" s="160">
        <v>2.8</v>
      </c>
      <c r="E80" s="160">
        <v>0.19980000000000001</v>
      </c>
      <c r="F80" s="332">
        <v>3.7</v>
      </c>
      <c r="G80" s="222">
        <f t="shared" si="0"/>
        <v>5.5050000000000003E-3</v>
      </c>
      <c r="H80" s="140">
        <v>0.22</v>
      </c>
      <c r="I80" s="140" t="s">
        <v>182</v>
      </c>
    </row>
    <row r="81" spans="2:9" ht="15.75" thickBot="1" x14ac:dyDescent="0.3">
      <c r="B81" s="154"/>
      <c r="C81" s="319">
        <v>4</v>
      </c>
      <c r="D81" s="160">
        <v>0.3</v>
      </c>
      <c r="E81" s="325">
        <v>0.1399</v>
      </c>
      <c r="F81" s="333">
        <v>3.7</v>
      </c>
      <c r="G81" s="313">
        <f t="shared" si="0"/>
        <v>5.5050000000000003E-3</v>
      </c>
      <c r="H81" s="162">
        <v>0.01</v>
      </c>
      <c r="I81" s="162" t="s">
        <v>182</v>
      </c>
    </row>
    <row r="82" spans="2:9" x14ac:dyDescent="0.25">
      <c r="B82" s="152" t="s">
        <v>222</v>
      </c>
      <c r="C82" s="318">
        <v>2</v>
      </c>
      <c r="D82" s="314">
        <v>4.5</v>
      </c>
      <c r="E82" s="309">
        <v>0.39960000000000001</v>
      </c>
      <c r="F82" s="334">
        <v>2.6</v>
      </c>
      <c r="G82" s="307">
        <f t="shared" si="0"/>
        <v>5.5050000000000003E-3</v>
      </c>
      <c r="H82" s="140">
        <v>0.15</v>
      </c>
      <c r="I82" s="140" t="s">
        <v>182</v>
      </c>
    </row>
    <row r="83" spans="2:9" x14ac:dyDescent="0.25">
      <c r="B83" s="153"/>
      <c r="C83" s="318">
        <v>3</v>
      </c>
      <c r="D83" s="160">
        <v>2.8</v>
      </c>
      <c r="E83" s="160">
        <v>0.19980000000000001</v>
      </c>
      <c r="F83" s="332">
        <v>2.6</v>
      </c>
      <c r="G83" s="222">
        <f t="shared" si="0"/>
        <v>5.5050000000000003E-3</v>
      </c>
      <c r="H83" s="140">
        <v>0.15</v>
      </c>
      <c r="I83" s="140" t="s">
        <v>182</v>
      </c>
    </row>
    <row r="84" spans="2:9" ht="15.75" thickBot="1" x14ac:dyDescent="0.3">
      <c r="B84" s="321"/>
      <c r="C84" s="322">
        <v>4</v>
      </c>
      <c r="D84" s="323">
        <v>0.3</v>
      </c>
      <c r="E84" s="325">
        <v>0.1399</v>
      </c>
      <c r="F84" s="335">
        <v>2.6</v>
      </c>
      <c r="G84" s="324">
        <f t="shared" si="0"/>
        <v>5.5050000000000003E-3</v>
      </c>
      <c r="H84" s="338">
        <v>0.01</v>
      </c>
      <c r="I84" s="320" t="s">
        <v>182</v>
      </c>
    </row>
    <row r="85" spans="2:9" x14ac:dyDescent="0.25">
      <c r="B85" s="308" t="s">
        <v>223</v>
      </c>
      <c r="C85" s="315">
        <v>2</v>
      </c>
      <c r="D85" s="314">
        <v>4.5</v>
      </c>
      <c r="E85" s="326">
        <v>0.29970000000000002</v>
      </c>
      <c r="F85" s="331">
        <v>2.6</v>
      </c>
      <c r="G85" s="312">
        <f t="shared" si="0"/>
        <v>5.5050000000000003E-3</v>
      </c>
      <c r="H85" s="140">
        <v>0.15</v>
      </c>
      <c r="I85" s="310" t="s">
        <v>182</v>
      </c>
    </row>
    <row r="86" spans="2:9" x14ac:dyDescent="0.25">
      <c r="B86" s="153"/>
      <c r="C86" s="318">
        <v>3</v>
      </c>
      <c r="D86" s="160">
        <v>2.8</v>
      </c>
      <c r="E86" s="327">
        <v>0.19980000000000001</v>
      </c>
      <c r="F86" s="332">
        <v>2.6</v>
      </c>
      <c r="G86" s="222">
        <f t="shared" si="0"/>
        <v>5.5050000000000003E-3</v>
      </c>
      <c r="H86" s="140">
        <v>0.15</v>
      </c>
      <c r="I86" s="140" t="s">
        <v>182</v>
      </c>
    </row>
    <row r="87" spans="2:9" ht="15.75" thickBot="1" x14ac:dyDescent="0.3">
      <c r="B87" s="154"/>
      <c r="C87" s="319">
        <v>4</v>
      </c>
      <c r="D87" s="161">
        <v>0.3</v>
      </c>
      <c r="E87" s="325">
        <v>0.1399</v>
      </c>
      <c r="F87" s="333">
        <v>2.6</v>
      </c>
      <c r="G87" s="313">
        <f t="shared" si="0"/>
        <v>5.5050000000000003E-3</v>
      </c>
      <c r="H87" s="338">
        <v>0.01</v>
      </c>
      <c r="I87" s="162" t="s">
        <v>182</v>
      </c>
    </row>
    <row r="89" spans="2:9" ht="15.75" thickBot="1" x14ac:dyDescent="0.3">
      <c r="B89" s="1" t="s">
        <v>234</v>
      </c>
    </row>
    <row r="90" spans="2:9" x14ac:dyDescent="0.25">
      <c r="B90" s="404" t="s">
        <v>232</v>
      </c>
      <c r="C90" s="405">
        <v>3.67</v>
      </c>
      <c r="D90" s="406" t="s">
        <v>231</v>
      </c>
      <c r="E90" s="407" t="s">
        <v>168</v>
      </c>
    </row>
    <row r="91" spans="2:9" ht="15.75" thickBot="1" x14ac:dyDescent="0.3">
      <c r="B91" s="408" t="s">
        <v>166</v>
      </c>
      <c r="C91" s="409">
        <v>1.5E-3</v>
      </c>
      <c r="D91" s="138" t="s">
        <v>167</v>
      </c>
      <c r="E91" s="150" t="s">
        <v>171</v>
      </c>
    </row>
    <row r="92" spans="2:9" ht="15.75" thickBot="1" x14ac:dyDescent="0.3">
      <c r="B92" s="400"/>
      <c r="C92" s="401">
        <f>C90*C91</f>
        <v>5.5050000000000003E-3</v>
      </c>
      <c r="D92" s="402" t="s">
        <v>168</v>
      </c>
      <c r="E92" s="403"/>
    </row>
    <row r="95" spans="2:9" x14ac:dyDescent="0.25">
      <c r="B95" t="s">
        <v>177</v>
      </c>
    </row>
    <row r="96" spans="2:9" x14ac:dyDescent="0.25">
      <c r="B96" t="s">
        <v>178</v>
      </c>
    </row>
  </sheetData>
  <sheetProtection algorithmName="SHA-512" hashValue="Qw6sbzzVyOWDfuCLxOTrsK18LvIvI+Xehpjl+TNL36raimfjx72hab8wvw5aPEhoVlF6Ne0D5IoNcy6m/2PLjw==" saltValue="9ruwv1xWIG9qtdc4XaG3iQ==" spinCount="100000" sheet="1" objects="1" scenarios="1"/>
  <mergeCells count="7">
    <mergeCell ref="B68:B69"/>
    <mergeCell ref="G42:G43"/>
    <mergeCell ref="B42:B43"/>
    <mergeCell ref="B54:B55"/>
    <mergeCell ref="G54:G55"/>
    <mergeCell ref="C42:F42"/>
    <mergeCell ref="C54:F54"/>
  </mergeCells>
  <pageMargins left="0.7" right="0.7" top="0.75" bottom="0.75" header="0.3" footer="0.3"/>
  <pageSetup orientation="portrait" r:id="rId1"/>
  <ignoredErrors>
    <ignoredError sqref="G73:G7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Project Data Input</vt:lpstr>
      <vt:lpstr>Emissions Summary</vt:lpstr>
      <vt:lpstr>Trip Rate Calculations</vt:lpstr>
      <vt:lpstr>Winery Data</vt:lpstr>
      <vt:lpstr>Wine ROC Emissions</vt:lpstr>
      <vt:lpstr>Fermentation CO2 Emissions </vt:lpstr>
      <vt:lpstr>Equipment Data</vt:lpstr>
      <vt:lpstr>Equipment GHG Emissions</vt:lpstr>
      <vt:lpstr>Conversions and EF</vt:lpstr>
      <vt:lpstr>Boiler</vt:lpstr>
      <vt:lpstr>No</vt:lpstr>
      <vt:lpstr>Open</vt:lpstr>
      <vt:lpstr>propane</vt:lpstr>
      <vt:lpstr>Yes</vt:lpstr>
      <vt:lpstr>YesNo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Nightingale</dc:creator>
  <cp:lastModifiedBy>Krista Nightingale</cp:lastModifiedBy>
  <dcterms:created xsi:type="dcterms:W3CDTF">2016-10-27T23:25:21Z</dcterms:created>
  <dcterms:modified xsi:type="dcterms:W3CDTF">2017-12-05T23:20:11Z</dcterms:modified>
</cp:coreProperties>
</file>