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capcd.org\shares\Toxics\Source Types\Gas Stations\"/>
    </mc:Choice>
  </mc:AlternateContent>
  <xr:revisionPtr revIDLastSave="0" documentId="13_ncr:1_{7D9EC610-029C-4D65-8893-3EA1ACE90ECC}" xr6:coauthVersionLast="47" xr6:coauthVersionMax="47" xr10:uidLastSave="{00000000-0000-0000-0000-000000000000}"/>
  <bookViews>
    <workbookView xWindow="-120" yWindow="-120" windowWidth="29040" windowHeight="15840" xr2:uid="{AECBD307-9E5B-492B-A0AD-5AB5FEC5784F}"/>
  </bookViews>
  <sheets>
    <sheet name="GDF ROC EFs" sheetId="2" r:id="rId1"/>
    <sheet name="ROC and Toxic Emissions" sheetId="6" r:id="rId2"/>
  </sheets>
  <definedNames>
    <definedName name="_Ref18911043" localSheetId="1">'ROC and Toxic Emissions'!#REF!</definedName>
    <definedName name="_Ref531153024" localSheetId="1">'ROC and Toxic Emissions'!#REF!</definedName>
    <definedName name="_Ref531153126" localSheetId="1">'ROC and Toxic Emissions'!#REF!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D52" i="2" s="1"/>
  <c r="D34" i="6"/>
  <c r="D16" i="6" s="1"/>
  <c r="G16" i="6" s="1"/>
  <c r="D33" i="6"/>
  <c r="D19" i="6" s="1"/>
  <c r="E19" i="6" s="1"/>
  <c r="D8" i="6"/>
  <c r="I8" i="6" s="1"/>
  <c r="D9" i="6"/>
  <c r="H9" i="6" s="1"/>
  <c r="D7" i="6"/>
  <c r="I7" i="6" s="1"/>
  <c r="D6" i="6"/>
  <c r="K6" i="6" s="1"/>
  <c r="C18" i="2"/>
  <c r="G39" i="2"/>
  <c r="C14" i="2"/>
  <c r="C15" i="2"/>
  <c r="D20" i="6" s="1"/>
  <c r="E20" i="6" s="1"/>
  <c r="C16" i="2"/>
  <c r="C17" i="2" s="1"/>
  <c r="G38" i="2"/>
  <c r="G37" i="2"/>
  <c r="G36" i="2"/>
  <c r="G35" i="2"/>
  <c r="G34" i="2"/>
  <c r="G33" i="2"/>
  <c r="G32" i="2"/>
  <c r="G31" i="2"/>
  <c r="G30" i="2"/>
  <c r="G29" i="2"/>
  <c r="G28" i="2"/>
  <c r="E27" i="2"/>
  <c r="G27" i="2"/>
  <c r="D10" i="6" l="1"/>
  <c r="I10" i="6" s="1"/>
  <c r="J10" i="6"/>
  <c r="G10" i="6"/>
  <c r="G20" i="6"/>
  <c r="F10" i="6"/>
  <c r="F20" i="6"/>
  <c r="E10" i="6"/>
  <c r="H10" i="6"/>
  <c r="K10" i="6"/>
  <c r="D17" i="6"/>
  <c r="E17" i="6" s="1"/>
  <c r="D18" i="6"/>
  <c r="E18" i="6" s="1"/>
  <c r="C21" i="2"/>
  <c r="D51" i="2"/>
  <c r="J7" i="6"/>
  <c r="K8" i="6"/>
  <c r="D21" i="6"/>
  <c r="E21" i="6" s="1"/>
  <c r="D11" i="6"/>
  <c r="F11" i="6" s="1"/>
  <c r="J11" i="6"/>
  <c r="E11" i="6"/>
  <c r="C22" i="2"/>
  <c r="E16" i="6"/>
  <c r="F19" i="6"/>
  <c r="K9" i="6"/>
  <c r="E9" i="6"/>
  <c r="G19" i="6"/>
  <c r="F9" i="6"/>
  <c r="E8" i="6"/>
  <c r="K7" i="6"/>
  <c r="I9" i="6"/>
  <c r="E6" i="6"/>
  <c r="G9" i="6"/>
  <c r="F8" i="6"/>
  <c r="E7" i="6"/>
  <c r="J9" i="6"/>
  <c r="G8" i="6"/>
  <c r="F7" i="6"/>
  <c r="G6" i="6"/>
  <c r="H6" i="6"/>
  <c r="G7" i="6"/>
  <c r="F6" i="6"/>
  <c r="J8" i="6"/>
  <c r="H8" i="6"/>
  <c r="I6" i="6"/>
  <c r="H7" i="6"/>
  <c r="F16" i="6"/>
  <c r="J6" i="6"/>
  <c r="G18" i="6" l="1"/>
  <c r="F17" i="6"/>
  <c r="F18" i="6"/>
  <c r="G17" i="6"/>
  <c r="G11" i="6"/>
  <c r="K11" i="6"/>
  <c r="F21" i="6"/>
  <c r="G21" i="6"/>
  <c r="H11" i="6"/>
  <c r="I11" i="6"/>
</calcChain>
</file>

<file path=xl/sharedStrings.xml><?xml version="1.0" encoding="utf-8"?>
<sst xmlns="http://schemas.openxmlformats.org/spreadsheetml/2006/main" count="162" uniqueCount="122">
  <si>
    <t>Loading</t>
  </si>
  <si>
    <t>Breathing</t>
  </si>
  <si>
    <t>Refueling</t>
  </si>
  <si>
    <t>Spillage</t>
  </si>
  <si>
    <t>Permit:</t>
  </si>
  <si>
    <t>FID:</t>
  </si>
  <si>
    <t>lb/day</t>
  </si>
  <si>
    <t>lb/1000 gal</t>
  </si>
  <si>
    <t>Hose Type</t>
  </si>
  <si>
    <t xml:space="preserve">ROC Emission Factor </t>
  </si>
  <si>
    <t>(lb/day-per hose)</t>
  </si>
  <si>
    <t>(lb/year-per hose)</t>
  </si>
  <si>
    <t>References:</t>
  </si>
  <si>
    <t>\\sbcapcd.org\shares\Toxics\Source Types\Gas Stations\Hose Permeation Emission Factors for GDFs Memo.docx</t>
  </si>
  <si>
    <t>Sum of Loading, Breathing, Refueling &amp; Spillage Emission Factors:</t>
  </si>
  <si>
    <t>Hose Permeation</t>
  </si>
  <si>
    <t>&lt;1</t>
  </si>
  <si>
    <t>1 - &lt;3</t>
  </si>
  <si>
    <t>3 - &lt;5</t>
  </si>
  <si>
    <t>5 - &lt;10</t>
  </si>
  <si>
    <r>
      <t>&gt;</t>
    </r>
    <r>
      <rPr>
        <sz val="10"/>
        <color indexed="8"/>
        <rFont val="Arial"/>
        <family val="2"/>
      </rPr>
      <t>10</t>
    </r>
  </si>
  <si>
    <t>Site Specific Throughput-Based Hose Permeation Factor</t>
  </si>
  <si>
    <t>System Type</t>
  </si>
  <si>
    <t>A1 - AST with Phase I EVR and II w/Vent Valve</t>
  </si>
  <si>
    <t>U1 - UST with Phase I EVR and Phase II EVR w/ Vent Valve</t>
  </si>
  <si>
    <t>U4 - UST with Phase I and II w/o Vent Valve</t>
  </si>
  <si>
    <t>U5 - UST with Phase I  with Vent Valve</t>
  </si>
  <si>
    <t>U6 - UST with Phase I only</t>
  </si>
  <si>
    <t>U7 - UST with No Control</t>
  </si>
  <si>
    <t>A2 - AST with Phase I and II w/Vent Valve</t>
  </si>
  <si>
    <t>A3 - AST with Phase I and II w/o Vent Valve</t>
  </si>
  <si>
    <t>A4 - AST with Phase I only</t>
  </si>
  <si>
    <t>A5 - AST with No Control</t>
  </si>
  <si>
    <t>H2 - Assist Controlled (EVR for both Phase I and II)</t>
  </si>
  <si>
    <t>H3 - Balance (All Balance System Types)</t>
  </si>
  <si>
    <t>(lb/1000 gal)</t>
  </si>
  <si>
    <t>Sum of Loading, Breathing, Refueling &amp; Spillage</t>
  </si>
  <si>
    <t>Total Daily ROC Emissions:</t>
  </si>
  <si>
    <t>Total Annual ROC Emissions:</t>
  </si>
  <si>
    <t>gal/hr</t>
  </si>
  <si>
    <t>Emission Sources - Subcategory</t>
  </si>
  <si>
    <t>System Type:</t>
  </si>
  <si>
    <t>(gal/hr)</t>
  </si>
  <si>
    <t xml:space="preserve">Annual Throughput </t>
  </si>
  <si>
    <t>(million gallons)</t>
  </si>
  <si>
    <t>Notes:</t>
  </si>
  <si>
    <t>Emission Factors for Facility</t>
  </si>
  <si>
    <t>Facility Data</t>
  </si>
  <si>
    <t>Facility ROC Emissions</t>
  </si>
  <si>
    <t>Facility Hourly Throughputs</t>
  </si>
  <si>
    <t>ton/yr</t>
  </si>
  <si>
    <t>(lb/hr)</t>
  </si>
  <si>
    <t>(lb/year)</t>
  </si>
  <si>
    <r>
      <t xml:space="preserve">lb/1000 gal - For use with CARB's GDF Screening Tool with Variable Met Data.  </t>
    </r>
    <r>
      <rPr>
        <b/>
        <sz val="10"/>
        <rFont val="Arial"/>
        <family val="2"/>
      </rPr>
      <t>Do not use for refined health risk assessment (HRA).</t>
    </r>
  </si>
  <si>
    <t>H1- Conventional, Assist Uncontrolled (Pre-EVR)</t>
  </si>
  <si>
    <t xml:space="preserve">Loading </t>
  </si>
  <si>
    <r>
      <t xml:space="preserve">1.  Santa Barbara County Air Pollution Control District’s Internal Memorandum. November 18, 2019. Cobbs, R. </t>
    </r>
    <r>
      <rPr>
        <i/>
        <sz val="10"/>
        <color indexed="8"/>
        <rFont val="Arial"/>
        <family val="2"/>
      </rPr>
      <t>Hose Permeation Emission Factors for Gasoline Dispensing Facilities.</t>
    </r>
    <r>
      <rPr>
        <sz val="10"/>
        <color indexed="8"/>
        <rFont val="Arial"/>
        <family val="2"/>
      </rPr>
      <t xml:space="preserve"> </t>
    </r>
  </si>
  <si>
    <t>Annual Throughput (gal/yr):</t>
  </si>
  <si>
    <t>Number of Hoses:</t>
  </si>
  <si>
    <t>Hose Type:</t>
  </si>
  <si>
    <t>Maximum Hourly Benzene Emissions</t>
  </si>
  <si>
    <t>Average Annual Benzene Emissions</t>
  </si>
  <si>
    <t>(lb/yr)</t>
  </si>
  <si>
    <t>Phase II Estimated Hourly Throughput:</t>
  </si>
  <si>
    <t>Daily Hose Permeation Factor:</t>
  </si>
  <si>
    <t>Annual Hose Permeation Factor:</t>
  </si>
  <si>
    <t>Phase I Loading Maximum Hourly Throughput</t>
  </si>
  <si>
    <t>Phase I Loading Maximum Hourly Throughput:</t>
  </si>
  <si>
    <t>Maximum Hourly               ROC Emissions</t>
  </si>
  <si>
    <t>Average Annual              ROC Emissions</t>
  </si>
  <si>
    <t>Phase II Estimated          Hourly Throughput</t>
  </si>
  <si>
    <r>
      <t xml:space="preserve">1.  User inputs in </t>
    </r>
    <r>
      <rPr>
        <sz val="10"/>
        <color indexed="10"/>
        <rFont val="Arial"/>
        <family val="2"/>
      </rPr>
      <t>red</t>
    </r>
    <r>
      <rPr>
        <sz val="10"/>
        <rFont val="Arial"/>
        <family val="2"/>
      </rPr>
      <t>.</t>
    </r>
  </si>
  <si>
    <r>
      <t xml:space="preserve">2.  Calculated values in </t>
    </r>
    <r>
      <rPr>
        <sz val="10"/>
        <color indexed="30"/>
        <rFont val="Arial"/>
        <family val="2"/>
      </rPr>
      <t>blue</t>
    </r>
    <r>
      <rPr>
        <sz val="10"/>
        <rFont val="Arial"/>
        <family val="2"/>
      </rPr>
      <t>.</t>
    </r>
  </si>
  <si>
    <r>
      <t xml:space="preserve">1.  Calculated values in </t>
    </r>
    <r>
      <rPr>
        <sz val="10"/>
        <color indexed="30"/>
        <rFont val="Arial"/>
        <family val="2"/>
      </rPr>
      <t>blue</t>
    </r>
    <r>
      <rPr>
        <sz val="10"/>
        <rFont val="Arial"/>
        <family val="2"/>
      </rPr>
      <t>.</t>
    </r>
  </si>
  <si>
    <t>lb/1000 gal ullage/day</t>
  </si>
  <si>
    <t>gallons</t>
  </si>
  <si>
    <t>lb/year</t>
  </si>
  <si>
    <t>AST Standing Losses (System Type A6 Only)</t>
  </si>
  <si>
    <t>Gasoline Dispensing Facility (GDF) Emission Calculations with Santa Barbara County Approved Emission Factors - October 2024</t>
  </si>
  <si>
    <t>Tank Capacity (gallons) - required for AST</t>
  </si>
  <si>
    <t>All Other Scenarios - Not A6</t>
  </si>
  <si>
    <t>Is this a new A6 system - AST, modified A6 system - AST, or other system?</t>
  </si>
  <si>
    <t>Average Annual Ethyl Benzene Emissions</t>
  </si>
  <si>
    <t>Average Annual n-Hexane Emissions</t>
  </si>
  <si>
    <t>Average Annual Naphthalene Emissions</t>
  </si>
  <si>
    <t>Average Annual Propylene Emissions</t>
  </si>
  <si>
    <t>Average Annual Toluene Emissions</t>
  </si>
  <si>
    <t>Average Annual Xylene Emissions</t>
  </si>
  <si>
    <t>Maximum Hourly Toluene Emissions</t>
  </si>
  <si>
    <t>Maximum Hourly Xylene Emissions</t>
  </si>
  <si>
    <t>Toxic Substance</t>
  </si>
  <si>
    <t>Substance Weight Percentage in Liquid</t>
  </si>
  <si>
    <t>Substance Weight Percentage in Vapor</t>
  </si>
  <si>
    <t>Benzene</t>
  </si>
  <si>
    <t>Ethyl Benzene</t>
  </si>
  <si>
    <t>n-Hexane</t>
  </si>
  <si>
    <t>Naphthalene</t>
  </si>
  <si>
    <t>Propylene</t>
  </si>
  <si>
    <t>Toluene</t>
  </si>
  <si>
    <t>Xylenes</t>
  </si>
  <si>
    <r>
      <t>1.  California Air Resources Board and California Air Pollution Control Officers Association. February 18, 2022.</t>
    </r>
    <r>
      <rPr>
        <i/>
        <sz val="10"/>
        <color indexed="8"/>
        <rFont val="Arial"/>
        <family val="2"/>
      </rPr>
      <t xml:space="preserve"> Gasoline Service Station Industrywide Risk Assessment Technical Guidance.</t>
    </r>
  </si>
  <si>
    <t>https://ww2.arb.ca.gov/sites/default/files/2022-03/Draft%202022%20Gas%20Station%20IWG%20-%20Technical%20Guidance_ADA%20Compliant.pdf</t>
  </si>
  <si>
    <t>Standing Losses (AST Systems Only)</t>
  </si>
  <si>
    <t>ROC and Toxics Emission Calculations for Gasoline Dispensing Facilities - October 2024</t>
  </si>
  <si>
    <t>\\sbcapcd.org\shares\Toxics\Source Types\Gas Stations\GDF Emission Factors for Phase I EVR and Phase II EVR for UST and AST_ Oct2024.docx</t>
  </si>
  <si>
    <t>Average Ullage:</t>
  </si>
  <si>
    <t>Standing Loss (A6 Only)</t>
  </si>
  <si>
    <t>Standing Loss     (A6 Only)</t>
  </si>
  <si>
    <t>U2 - UST with Phase I EVR and II w/ Vent Valve</t>
  </si>
  <si>
    <t>U3 - UST with Phase I and II w/ Vent Valve</t>
  </si>
  <si>
    <t>A6 -  AST with Phase I EVR and Phase II EVR w/ Vent Valve and Standing Loss Control</t>
  </si>
  <si>
    <r>
      <rPr>
        <b/>
        <sz val="11"/>
        <rFont val="Arial"/>
        <family val="2"/>
      </rPr>
      <t>Modified</t>
    </r>
    <r>
      <rPr>
        <sz val="11"/>
        <rFont val="Arial"/>
        <family val="2"/>
      </rPr>
      <t xml:space="preserve"> A6 - AST with Phase I EVR and Phase II EVR w/ Vent Valve and Standing Loss Control</t>
    </r>
  </si>
  <si>
    <r>
      <rPr>
        <b/>
        <sz val="11"/>
        <rFont val="Arial"/>
        <family val="2"/>
      </rPr>
      <t>New</t>
    </r>
    <r>
      <rPr>
        <sz val="11"/>
        <rFont val="Arial"/>
        <family val="2"/>
      </rPr>
      <t xml:space="preserve"> A6 - AST with Phase I EVR and Phase II EVR w/ Vent Valve and Standing Loss Control</t>
    </r>
  </si>
  <si>
    <r>
      <t xml:space="preserve">2.  Santa Barbara County Air Pollution Control District’s Internal Memorandum. October 22, 2024. Cobbs, R. </t>
    </r>
    <r>
      <rPr>
        <i/>
        <sz val="10"/>
        <color indexed="8"/>
        <rFont val="Arial"/>
        <family val="2"/>
      </rPr>
      <t>GDF Emission Factors for Phase I EVR and Phase II EVR for UST and AST Systems.</t>
    </r>
  </si>
  <si>
    <t>Table 1 - GDF ROC Emission Factors for Loading, Breathing, Refueling and Spillage</t>
  </si>
  <si>
    <t>Table 2 - Hose Permeation ROC Emission Factors</t>
  </si>
  <si>
    <t>Table 3 - AST Standing Losses - A6 System Only</t>
  </si>
  <si>
    <t>Table 4 - Average Annual ROC and Toxics Emissions by Emission Source</t>
  </si>
  <si>
    <t>Table 5 - Maximum Hourly ROC and Toxics Emissions by Emission Source</t>
  </si>
  <si>
    <t>Table 6 - Estimated Maximum Hourly Throughput by Annual Throughput</t>
  </si>
  <si>
    <t>Table 7 - Toxic Weight Percentages in Gasoline for Annual Emission Calculations</t>
  </si>
  <si>
    <t>Table 8 - Toxic Weight Percentages in Gasoline for Maximum Hourly Emission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</si>
</sst>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"/>
    <numFmt numFmtId="165" formatCode="0.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  <font>
      <sz val="10"/>
      <color indexed="30"/>
      <name val="Arial"/>
      <family val="2"/>
    </font>
    <font>
      <b/>
      <sz val="12.5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140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14" fillId="0" borderId="0" xfId="2"/>
    <xf numFmtId="0" fontId="6" fillId="0" borderId="0" xfId="0" applyFont="1" applyAlignment="1">
      <alignment horizontal="left" vertical="center"/>
    </xf>
    <xf numFmtId="3" fontId="0" fillId="0" borderId="0" xfId="0" applyNumberFormat="1"/>
    <xf numFmtId="3" fontId="16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2" fontId="4" fillId="0" borderId="0" xfId="0" applyNumberFormat="1" applyFont="1"/>
    <xf numFmtId="2" fontId="6" fillId="0" borderId="5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49" fontId="7" fillId="2" borderId="9" xfId="0" applyNumberFormat="1" applyFont="1" applyFill="1" applyBorder="1"/>
    <xf numFmtId="49" fontId="7" fillId="2" borderId="10" xfId="0" applyNumberFormat="1" applyFont="1" applyFill="1" applyBorder="1"/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6" fillId="0" borderId="0" xfId="0" applyNumberFormat="1" applyFont="1"/>
    <xf numFmtId="2" fontId="6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3" borderId="0" xfId="3" applyFont="1" applyFill="1" applyAlignment="1">
      <alignment horizontal="left" vertical="center"/>
    </xf>
    <xf numFmtId="0" fontId="19" fillId="3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wrapText="1"/>
    </xf>
    <xf numFmtId="0" fontId="7" fillId="0" borderId="12" xfId="0" applyFont="1" applyBorder="1" applyAlignment="1">
      <alignment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164" fontId="20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13" fillId="0" borderId="0" xfId="0" applyFont="1"/>
    <xf numFmtId="0" fontId="20" fillId="0" borderId="0" xfId="0" applyFont="1"/>
    <xf numFmtId="2" fontId="20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2" fontId="20" fillId="0" borderId="3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11" fontId="20" fillId="0" borderId="2" xfId="0" applyNumberFormat="1" applyFont="1" applyBorder="1" applyAlignment="1">
      <alignment horizontal="center"/>
    </xf>
    <xf numFmtId="11" fontId="20" fillId="0" borderId="4" xfId="0" applyNumberFormat="1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37" fontId="21" fillId="0" borderId="0" xfId="1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/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7" fillId="0" borderId="17" xfId="0" applyNumberFormat="1" applyFont="1" applyBorder="1" applyAlignment="1">
      <alignment horizontal="center"/>
    </xf>
    <xf numFmtId="165" fontId="7" fillId="0" borderId="1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21" fillId="0" borderId="0" xfId="0" applyFont="1"/>
    <xf numFmtId="0" fontId="1" fillId="0" borderId="0" xfId="0" applyFont="1" applyAlignment="1" applyProtection="1">
      <alignment horizontal="right"/>
      <protection locked="0"/>
    </xf>
    <xf numFmtId="165" fontId="20" fillId="0" borderId="0" xfId="0" applyNumberFormat="1" applyFont="1" applyAlignment="1">
      <alignment horizontal="right"/>
    </xf>
    <xf numFmtId="2" fontId="6" fillId="0" borderId="26" xfId="0" applyNumberFormat="1" applyFont="1" applyBorder="1"/>
    <xf numFmtId="0" fontId="4" fillId="0" borderId="12" xfId="0" applyFont="1" applyBorder="1" applyAlignment="1">
      <alignment horizontal="left"/>
    </xf>
    <xf numFmtId="11" fontId="20" fillId="0" borderId="1" xfId="0" applyNumberFormat="1" applyFont="1" applyBorder="1" applyAlignment="1">
      <alignment horizontal="center"/>
    </xf>
    <xf numFmtId="11" fontId="20" fillId="0" borderId="3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1" fontId="20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3" borderId="0" xfId="3" applyFont="1" applyFill="1" applyAlignment="1">
      <alignment horizontal="left" vertical="center" indent="2"/>
    </xf>
    <xf numFmtId="0" fontId="5" fillId="3" borderId="0" xfId="3" applyFont="1" applyFill="1" applyAlignment="1">
      <alignment horizontal="center" vertical="center"/>
    </xf>
    <xf numFmtId="0" fontId="19" fillId="3" borderId="0" xfId="0" applyFont="1" applyFill="1" applyAlignment="1">
      <alignment vertical="top"/>
    </xf>
    <xf numFmtId="0" fontId="14" fillId="3" borderId="0" xfId="2" applyFill="1" applyBorder="1" applyAlignment="1">
      <alignment horizontal="left" vertical="top"/>
    </xf>
    <xf numFmtId="0" fontId="19" fillId="3" borderId="0" xfId="0" applyFont="1" applyFill="1" applyAlignment="1">
      <alignment horizontal="left" vertical="top" wrapText="1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20" fillId="0" borderId="6" xfId="0" quotePrefix="1" applyNumberFormat="1" applyFont="1" applyBorder="1" applyAlignment="1">
      <alignment horizontal="center"/>
    </xf>
    <xf numFmtId="11" fontId="20" fillId="0" borderId="6" xfId="0" applyNumberFormat="1" applyFont="1" applyBorder="1" applyAlignment="1">
      <alignment horizontal="center"/>
    </xf>
    <xf numFmtId="11" fontId="20" fillId="0" borderId="7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0" borderId="3" xfId="0" applyNumberFormat="1" applyFont="1" applyBorder="1" applyAlignment="1">
      <alignment horizontal="center"/>
    </xf>
    <xf numFmtId="0" fontId="14" fillId="0" borderId="0" xfId="2" applyFill="1"/>
    <xf numFmtId="49" fontId="7" fillId="0" borderId="11" xfId="0" applyNumberFormat="1" applyFont="1" applyBorder="1"/>
    <xf numFmtId="0" fontId="1" fillId="0" borderId="0" xfId="0" applyFont="1" applyAlignment="1">
      <alignment horizontal="right"/>
    </xf>
    <xf numFmtId="165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21" fillId="0" borderId="0" xfId="0" applyFont="1" applyAlignment="1" applyProtection="1">
      <alignment horizontal="left"/>
      <protection locked="0"/>
    </xf>
    <xf numFmtId="0" fontId="4" fillId="0" borderId="0" xfId="0" applyFont="1"/>
    <xf numFmtId="0" fontId="19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7" fillId="2" borderId="18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0" borderId="24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 2" xfId="3" xr:uid="{9F4D6C93-862B-406F-99C9-62DE42F7C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GDF%20Emission%20Factors%20for%20Phase%20I%20EVR%20and%20Phase%20II%20EVR%20for%20UST%20and%20AST_%20Oct2024.docx" TargetMode="External"/><Relationship Id="rId1" Type="http://schemas.openxmlformats.org/officeDocument/2006/relationships/hyperlink" Target="file:///C:\Users\rfc\AppData\Local\WP\GDF\Permits\ATC%2015614\Hose%20Permeation%20Emission%20Factors%20for%20GDFs%20Memo.doc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2.arb.ca.gov/sites/default/files/2022-03/Draft%202022%20Gas%20Station%20IWG%20-%20Technical%20Guidance_ADA%20Complia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91FD-6356-4771-8D28-5C0976447E12}">
  <sheetPr codeName="Sheet1">
    <pageSetUpPr fitToPage="1"/>
  </sheetPr>
  <dimension ref="A1:I63"/>
  <sheetViews>
    <sheetView showGridLines="0" tabSelected="1" topLeftCell="A12" zoomScaleNormal="100" workbookViewId="0">
      <selection activeCell="B25" sqref="B25:B26"/>
    </sheetView>
  </sheetViews>
  <sheetFormatPr defaultRowHeight="12.75" x14ac:dyDescent="0.2"/>
  <cols>
    <col min="1" max="1" width="2.140625" customWidth="1"/>
    <col min="2" max="2" width="90.28515625" customWidth="1"/>
    <col min="3" max="3" width="16.28515625" bestFit="1" customWidth="1"/>
    <col min="4" max="4" width="19.5703125" customWidth="1"/>
    <col min="5" max="5" width="12.140625" bestFit="1" customWidth="1"/>
    <col min="6" max="6" width="15.140625" customWidth="1"/>
    <col min="7" max="7" width="14.42578125" customWidth="1"/>
    <col min="8" max="8" width="16.7109375" customWidth="1"/>
    <col min="9" max="9" width="19.42578125" bestFit="1" customWidth="1"/>
  </cols>
  <sheetData>
    <row r="1" spans="2:8" ht="16.5" x14ac:dyDescent="0.25">
      <c r="B1" s="57" t="s">
        <v>78</v>
      </c>
    </row>
    <row r="3" spans="2:8" x14ac:dyDescent="0.2">
      <c r="B3" s="36" t="s">
        <v>47</v>
      </c>
    </row>
    <row r="4" spans="2:8" x14ac:dyDescent="0.2">
      <c r="B4" s="35" t="s">
        <v>4</v>
      </c>
      <c r="C4" s="69"/>
      <c r="D4" s="70"/>
      <c r="E4" s="2"/>
      <c r="F4" s="2"/>
      <c r="G4" s="2"/>
      <c r="H4" s="2"/>
    </row>
    <row r="5" spans="2:8" x14ac:dyDescent="0.2">
      <c r="B5" s="35" t="s">
        <v>5</v>
      </c>
      <c r="C5" s="69"/>
      <c r="D5" s="2"/>
      <c r="E5" s="2"/>
      <c r="F5" s="2"/>
      <c r="G5" s="2"/>
      <c r="H5" s="2"/>
    </row>
    <row r="6" spans="2:8" x14ac:dyDescent="0.2">
      <c r="B6" s="35" t="s">
        <v>59</v>
      </c>
      <c r="C6" s="131" t="s">
        <v>34</v>
      </c>
      <c r="D6" s="132"/>
      <c r="E6" s="132"/>
      <c r="F6" s="2"/>
      <c r="G6" s="2"/>
      <c r="H6" s="2"/>
    </row>
    <row r="7" spans="2:8" x14ac:dyDescent="0.2">
      <c r="B7" s="35" t="s">
        <v>58</v>
      </c>
      <c r="C7" s="69"/>
      <c r="D7" s="2"/>
      <c r="E7" s="2"/>
      <c r="F7" s="2"/>
      <c r="G7" s="2"/>
      <c r="H7" s="2"/>
    </row>
    <row r="8" spans="2:8" x14ac:dyDescent="0.2">
      <c r="B8" s="35" t="s">
        <v>57</v>
      </c>
      <c r="C8" s="71"/>
      <c r="D8" s="2"/>
      <c r="E8" s="2"/>
      <c r="F8" s="2"/>
      <c r="G8" s="2"/>
      <c r="H8" s="2"/>
    </row>
    <row r="9" spans="2:8" s="75" customFormat="1" x14ac:dyDescent="0.2">
      <c r="B9" s="35" t="s">
        <v>79</v>
      </c>
      <c r="C9" s="71"/>
      <c r="D9" s="89"/>
      <c r="E9" s="89"/>
      <c r="F9" s="89"/>
    </row>
    <row r="10" spans="2:8" x14ac:dyDescent="0.2">
      <c r="B10" s="35" t="s">
        <v>41</v>
      </c>
      <c r="C10" s="69" t="s">
        <v>24</v>
      </c>
      <c r="D10" s="89"/>
      <c r="E10" s="89"/>
      <c r="F10" s="89"/>
      <c r="G10" s="2"/>
      <c r="H10" s="2"/>
    </row>
    <row r="11" spans="2:8" s="75" customFormat="1" x14ac:dyDescent="0.2">
      <c r="B11" s="35" t="s">
        <v>81</v>
      </c>
      <c r="C11" s="69" t="s">
        <v>80</v>
      </c>
      <c r="D11" s="89"/>
      <c r="E11" s="89"/>
      <c r="F11" s="89"/>
    </row>
    <row r="12" spans="2:8" x14ac:dyDescent="0.2">
      <c r="B12" s="35"/>
      <c r="C12" s="90"/>
    </row>
    <row r="13" spans="2:8" x14ac:dyDescent="0.2">
      <c r="B13" s="36" t="s">
        <v>46</v>
      </c>
    </row>
    <row r="14" spans="2:8" s="2" customFormat="1" ht="12.75" customHeight="1" x14ac:dyDescent="0.2">
      <c r="B14" s="37" t="s">
        <v>14</v>
      </c>
      <c r="C14" s="54">
        <f>VLOOKUP(C10,B27:G39,6,0)</f>
        <v>0.58000000000000007</v>
      </c>
      <c r="D14" s="2" t="s">
        <v>7</v>
      </c>
    </row>
    <row r="15" spans="2:8" s="2" customFormat="1" x14ac:dyDescent="0.2">
      <c r="B15" s="35" t="s">
        <v>64</v>
      </c>
      <c r="C15" s="91">
        <f>VLOOKUP(C6,B44:D46,2,FALSE)</f>
        <v>0.01</v>
      </c>
      <c r="D15" s="2" t="s">
        <v>10</v>
      </c>
    </row>
    <row r="16" spans="2:8" s="2" customFormat="1" x14ac:dyDescent="0.2">
      <c r="B16" s="35" t="s">
        <v>65</v>
      </c>
      <c r="C16" s="91">
        <f>VLOOKUP(C6,B44:D46,3,FALSE)</f>
        <v>3.74</v>
      </c>
      <c r="D16" s="2" t="s">
        <v>11</v>
      </c>
    </row>
    <row r="17" spans="1:7" hidden="1" x14ac:dyDescent="0.2">
      <c r="B17" s="37" t="s">
        <v>21</v>
      </c>
      <c r="C17" s="55" t="e">
        <f>(C16*C7)/C8*1000</f>
        <v>#DIV/0!</v>
      </c>
      <c r="D17" s="2" t="s">
        <v>53</v>
      </c>
    </row>
    <row r="18" spans="1:7" s="75" customFormat="1" x14ac:dyDescent="0.2">
      <c r="B18" s="37" t="s">
        <v>77</v>
      </c>
      <c r="C18" s="91">
        <f>VLOOKUP(C11,B51:D53,2,0)</f>
        <v>0</v>
      </c>
      <c r="D18" s="2" t="s">
        <v>74</v>
      </c>
    </row>
    <row r="19" spans="1:7" x14ac:dyDescent="0.2">
      <c r="B19" s="37"/>
      <c r="C19" s="55"/>
      <c r="D19" s="2"/>
    </row>
    <row r="20" spans="1:7" x14ac:dyDescent="0.2">
      <c r="B20" s="36" t="s">
        <v>48</v>
      </c>
      <c r="C20" s="54"/>
      <c r="D20" s="2"/>
    </row>
    <row r="21" spans="1:7" x14ac:dyDescent="0.2">
      <c r="B21" s="35" t="s">
        <v>37</v>
      </c>
      <c r="C21" s="56">
        <f>(C14/1000)*(C8)/(365)+C15*C7+(C18*G51/1000)</f>
        <v>0</v>
      </c>
      <c r="D21" s="2" t="s">
        <v>6</v>
      </c>
    </row>
    <row r="22" spans="1:7" x14ac:dyDescent="0.2">
      <c r="B22" s="35" t="s">
        <v>38</v>
      </c>
      <c r="C22" s="56">
        <f>(C14/1000)*(C8)/(2000)+(C16*C7)/2000+(C18*G51/1000*365)/2000</f>
        <v>0</v>
      </c>
      <c r="D22" s="2" t="s">
        <v>50</v>
      </c>
    </row>
    <row r="23" spans="1:7" x14ac:dyDescent="0.2">
      <c r="A23" s="1"/>
      <c r="B23" s="11"/>
      <c r="C23" s="2"/>
    </row>
    <row r="24" spans="1:7" ht="15.75" thickBot="1" x14ac:dyDescent="0.3">
      <c r="A24" s="1"/>
      <c r="B24" s="26" t="s">
        <v>114</v>
      </c>
      <c r="C24" s="2"/>
    </row>
    <row r="25" spans="1:7" ht="71.25" x14ac:dyDescent="0.2">
      <c r="A25" s="1"/>
      <c r="B25" s="135" t="s">
        <v>22</v>
      </c>
      <c r="C25" s="43" t="s">
        <v>55</v>
      </c>
      <c r="D25" s="43" t="s">
        <v>1</v>
      </c>
      <c r="E25" s="43" t="s">
        <v>2</v>
      </c>
      <c r="F25" s="43" t="s">
        <v>3</v>
      </c>
      <c r="G25" s="42" t="s">
        <v>36</v>
      </c>
    </row>
    <row r="26" spans="1:7" ht="29.25" thickBot="1" x14ac:dyDescent="0.25">
      <c r="A26" s="1"/>
      <c r="B26" s="136"/>
      <c r="C26" s="44" t="s">
        <v>35</v>
      </c>
      <c r="D26" s="44" t="s">
        <v>35</v>
      </c>
      <c r="E26" s="44" t="s">
        <v>35</v>
      </c>
      <c r="F26" s="44" t="s">
        <v>35</v>
      </c>
      <c r="G26" s="41" t="s">
        <v>35</v>
      </c>
    </row>
    <row r="27" spans="1:7" ht="15" x14ac:dyDescent="0.25">
      <c r="A27" s="1"/>
      <c r="B27" s="18" t="s">
        <v>24</v>
      </c>
      <c r="C27" s="14">
        <v>0.15</v>
      </c>
      <c r="D27" s="15">
        <v>2.4E-2</v>
      </c>
      <c r="E27" s="15">
        <f>0.38-D27</f>
        <v>0.35599999999999998</v>
      </c>
      <c r="F27" s="14">
        <v>0.05</v>
      </c>
      <c r="G27" s="16">
        <f t="shared" ref="G27:G38" si="0">SUM(C27:F27)</f>
        <v>0.58000000000000007</v>
      </c>
    </row>
    <row r="28" spans="1:7" ht="15" x14ac:dyDescent="0.25">
      <c r="A28" s="1"/>
      <c r="B28" s="19" t="s">
        <v>108</v>
      </c>
      <c r="C28" s="17">
        <v>0.15</v>
      </c>
      <c r="D28" s="17">
        <v>0.25</v>
      </c>
      <c r="E28" s="17">
        <v>0.42</v>
      </c>
      <c r="F28" s="17">
        <v>0.42</v>
      </c>
      <c r="G28" s="27">
        <f t="shared" si="0"/>
        <v>1.24</v>
      </c>
    </row>
    <row r="29" spans="1:7" ht="15" x14ac:dyDescent="0.25">
      <c r="A29" s="1"/>
      <c r="B29" s="19" t="s">
        <v>109</v>
      </c>
      <c r="C29" s="13">
        <v>0.42</v>
      </c>
      <c r="D29" s="13">
        <v>0.25</v>
      </c>
      <c r="E29" s="13">
        <v>0.42</v>
      </c>
      <c r="F29" s="13">
        <v>0.42</v>
      </c>
      <c r="G29" s="27">
        <f t="shared" si="0"/>
        <v>1.5099999999999998</v>
      </c>
    </row>
    <row r="30" spans="1:7" ht="15" x14ac:dyDescent="0.25">
      <c r="A30" s="1"/>
      <c r="B30" s="19" t="s">
        <v>25</v>
      </c>
      <c r="C30" s="13">
        <v>0.42</v>
      </c>
      <c r="D30" s="13">
        <v>1</v>
      </c>
      <c r="E30" s="13">
        <v>0.42</v>
      </c>
      <c r="F30" s="13">
        <v>0.42</v>
      </c>
      <c r="G30" s="12">
        <f t="shared" si="0"/>
        <v>2.2599999999999998</v>
      </c>
    </row>
    <row r="31" spans="1:7" ht="15" x14ac:dyDescent="0.25">
      <c r="A31" s="1"/>
      <c r="B31" s="19" t="s">
        <v>26</v>
      </c>
      <c r="C31" s="13">
        <v>0.42</v>
      </c>
      <c r="D31" s="13">
        <v>0.25</v>
      </c>
      <c r="E31" s="13">
        <v>8.4</v>
      </c>
      <c r="F31" s="13">
        <v>0.61</v>
      </c>
      <c r="G31" s="12">
        <f t="shared" si="0"/>
        <v>9.68</v>
      </c>
    </row>
    <row r="32" spans="1:7" ht="15" x14ac:dyDescent="0.25">
      <c r="A32" s="1"/>
      <c r="B32" s="19" t="s">
        <v>27</v>
      </c>
      <c r="C32" s="13">
        <v>0.42</v>
      </c>
      <c r="D32" s="13">
        <v>1</v>
      </c>
      <c r="E32" s="13">
        <v>8.4</v>
      </c>
      <c r="F32" s="13">
        <v>0.61</v>
      </c>
      <c r="G32" s="12">
        <f t="shared" si="0"/>
        <v>10.43</v>
      </c>
    </row>
    <row r="33" spans="1:7" ht="15" x14ac:dyDescent="0.25">
      <c r="A33" s="1"/>
      <c r="B33" s="19" t="s">
        <v>28</v>
      </c>
      <c r="C33" s="13">
        <v>8.4</v>
      </c>
      <c r="D33" s="13">
        <v>1</v>
      </c>
      <c r="E33" s="13">
        <v>8.4</v>
      </c>
      <c r="F33" s="13">
        <v>0.61</v>
      </c>
      <c r="G33" s="12">
        <f t="shared" si="0"/>
        <v>18.41</v>
      </c>
    </row>
    <row r="34" spans="1:7" ht="15" x14ac:dyDescent="0.25">
      <c r="A34" s="1"/>
      <c r="B34" s="19" t="s">
        <v>23</v>
      </c>
      <c r="C34" s="13">
        <v>0.15</v>
      </c>
      <c r="D34" s="128">
        <v>0.52500000000000002</v>
      </c>
      <c r="E34" s="13">
        <v>0.42</v>
      </c>
      <c r="F34" s="13">
        <v>0.42</v>
      </c>
      <c r="G34" s="12">
        <f t="shared" si="0"/>
        <v>1.5149999999999999</v>
      </c>
    </row>
    <row r="35" spans="1:7" ht="15" x14ac:dyDescent="0.25">
      <c r="A35" s="1"/>
      <c r="B35" s="19" t="s">
        <v>29</v>
      </c>
      <c r="C35" s="13">
        <v>0.42</v>
      </c>
      <c r="D35" s="128">
        <v>0.52500000000000002</v>
      </c>
      <c r="E35" s="13">
        <v>0.42</v>
      </c>
      <c r="F35" s="13">
        <v>0.42</v>
      </c>
      <c r="G35" s="12">
        <f t="shared" si="0"/>
        <v>1.7849999999999999</v>
      </c>
    </row>
    <row r="36" spans="1:7" ht="15" x14ac:dyDescent="0.25">
      <c r="A36" s="1"/>
      <c r="B36" s="19" t="s">
        <v>30</v>
      </c>
      <c r="C36" s="13">
        <v>0.42</v>
      </c>
      <c r="D36" s="13">
        <v>2.1</v>
      </c>
      <c r="E36" s="13">
        <v>0.42</v>
      </c>
      <c r="F36" s="13">
        <v>0.42</v>
      </c>
      <c r="G36" s="12">
        <f t="shared" si="0"/>
        <v>3.36</v>
      </c>
    </row>
    <row r="37" spans="1:7" ht="15" x14ac:dyDescent="0.25">
      <c r="A37" s="1"/>
      <c r="B37" s="19" t="s">
        <v>31</v>
      </c>
      <c r="C37" s="13">
        <v>0.42</v>
      </c>
      <c r="D37" s="13">
        <v>2.1</v>
      </c>
      <c r="E37" s="13">
        <v>8.4</v>
      </c>
      <c r="F37" s="13">
        <v>0.61</v>
      </c>
      <c r="G37" s="12">
        <f t="shared" si="0"/>
        <v>11.53</v>
      </c>
    </row>
    <row r="38" spans="1:7" ht="15" x14ac:dyDescent="0.25">
      <c r="A38" s="1"/>
      <c r="B38" s="19" t="s">
        <v>32</v>
      </c>
      <c r="C38" s="13">
        <v>8.4</v>
      </c>
      <c r="D38" s="13">
        <v>2.1</v>
      </c>
      <c r="E38" s="13">
        <v>8.4</v>
      </c>
      <c r="F38" s="13">
        <v>0.61</v>
      </c>
      <c r="G38" s="27">
        <f t="shared" si="0"/>
        <v>19.509999999999998</v>
      </c>
    </row>
    <row r="39" spans="1:7" s="2" customFormat="1" ht="15.75" thickBot="1" x14ac:dyDescent="0.3">
      <c r="A39" s="1"/>
      <c r="B39" s="126" t="s">
        <v>110</v>
      </c>
      <c r="C39" s="86">
        <v>0.15</v>
      </c>
      <c r="D39" s="87">
        <v>2.4E-2</v>
      </c>
      <c r="E39" s="87">
        <v>0.35599999999999998</v>
      </c>
      <c r="F39" s="86">
        <v>0.05</v>
      </c>
      <c r="G39" s="88">
        <f>SUM(C39:F39)</f>
        <v>0.58000000000000007</v>
      </c>
    </row>
    <row r="40" spans="1:7" x14ac:dyDescent="0.2">
      <c r="A40" s="1"/>
      <c r="B40" s="11"/>
      <c r="C40" s="2"/>
    </row>
    <row r="41" spans="1:7" ht="15.75" thickBot="1" x14ac:dyDescent="0.25">
      <c r="B41" s="4" t="s">
        <v>115</v>
      </c>
      <c r="D41" s="2"/>
      <c r="E41" s="2"/>
    </row>
    <row r="42" spans="1:7" ht="28.5" x14ac:dyDescent="0.2">
      <c r="B42" s="129" t="s">
        <v>8</v>
      </c>
      <c r="C42" s="48" t="s">
        <v>9</v>
      </c>
      <c r="D42" s="49" t="s">
        <v>9</v>
      </c>
    </row>
    <row r="43" spans="1:7" ht="34.9" customHeight="1" thickBot="1" x14ac:dyDescent="0.25">
      <c r="B43" s="130"/>
      <c r="C43" s="50" t="s">
        <v>10</v>
      </c>
      <c r="D43" s="51" t="s">
        <v>11</v>
      </c>
    </row>
    <row r="44" spans="1:7" ht="15" customHeight="1" x14ac:dyDescent="0.2">
      <c r="B44" s="45" t="s">
        <v>54</v>
      </c>
      <c r="C44" s="46">
        <v>0.03</v>
      </c>
      <c r="D44" s="47">
        <v>10.98</v>
      </c>
    </row>
    <row r="45" spans="1:7" ht="15" customHeight="1" x14ac:dyDescent="0.2">
      <c r="B45" s="20" t="s">
        <v>33</v>
      </c>
      <c r="C45" s="22">
        <v>1E-3</v>
      </c>
      <c r="D45" s="23">
        <v>0.47</v>
      </c>
    </row>
    <row r="46" spans="1:7" ht="15" thickBot="1" x14ac:dyDescent="0.25">
      <c r="B46" s="21" t="s">
        <v>34</v>
      </c>
      <c r="C46" s="24">
        <v>0.01</v>
      </c>
      <c r="D46" s="25">
        <v>3.74</v>
      </c>
    </row>
    <row r="47" spans="1:7" ht="14.25" x14ac:dyDescent="0.2">
      <c r="B47" s="72"/>
      <c r="C47" s="73"/>
      <c r="D47" s="74"/>
    </row>
    <row r="48" spans="1:7" s="2" customFormat="1" ht="15.75" thickBot="1" x14ac:dyDescent="0.25">
      <c r="B48" s="4" t="s">
        <v>116</v>
      </c>
    </row>
    <row r="49" spans="2:9" s="2" customFormat="1" ht="28.5" x14ac:dyDescent="0.2">
      <c r="B49" s="129"/>
      <c r="C49" s="76" t="s">
        <v>106</v>
      </c>
      <c r="D49" s="53" t="s">
        <v>107</v>
      </c>
    </row>
    <row r="50" spans="2:9" s="2" customFormat="1" ht="29.25" thickBot="1" x14ac:dyDescent="0.25">
      <c r="B50" s="137"/>
      <c r="C50" s="77" t="s">
        <v>74</v>
      </c>
      <c r="D50" s="65" t="s">
        <v>76</v>
      </c>
    </row>
    <row r="51" spans="2:9" s="2" customFormat="1" ht="29.25" x14ac:dyDescent="0.2">
      <c r="B51" s="78" t="s">
        <v>111</v>
      </c>
      <c r="C51" s="79">
        <v>2.2599999999999998</v>
      </c>
      <c r="D51" s="80">
        <f>C51*G51/1000*365</f>
        <v>0</v>
      </c>
      <c r="F51" s="127" t="s">
        <v>105</v>
      </c>
      <c r="G51" s="2">
        <f>C9/2</f>
        <v>0</v>
      </c>
      <c r="H51" s="2" t="s">
        <v>75</v>
      </c>
    </row>
    <row r="52" spans="2:9" s="2" customFormat="1" ht="15" x14ac:dyDescent="0.2">
      <c r="B52" s="20" t="s">
        <v>112</v>
      </c>
      <c r="C52" s="81">
        <v>0.56999999999999995</v>
      </c>
      <c r="D52" s="82">
        <f>C52*G51/1000*365</f>
        <v>0</v>
      </c>
      <c r="F52" s="28"/>
    </row>
    <row r="53" spans="2:9" s="2" customFormat="1" ht="15" thickBot="1" x14ac:dyDescent="0.25">
      <c r="B53" s="21" t="s">
        <v>80</v>
      </c>
      <c r="C53" s="83">
        <v>0</v>
      </c>
      <c r="D53" s="84">
        <v>0</v>
      </c>
    </row>
    <row r="54" spans="2:9" s="2" customFormat="1" ht="14.25" x14ac:dyDescent="0.2">
      <c r="B54" s="72"/>
      <c r="C54" s="85"/>
      <c r="D54" s="85"/>
    </row>
    <row r="55" spans="2:9" x14ac:dyDescent="0.2">
      <c r="B55" s="38" t="s">
        <v>45</v>
      </c>
    </row>
    <row r="56" spans="2:9" x14ac:dyDescent="0.2">
      <c r="B56" s="39" t="s">
        <v>71</v>
      </c>
      <c r="C56" s="35"/>
    </row>
    <row r="57" spans="2:9" x14ac:dyDescent="0.2">
      <c r="B57" s="40" t="s">
        <v>72</v>
      </c>
      <c r="C57" s="34"/>
    </row>
    <row r="59" spans="2:9" x14ac:dyDescent="0.2">
      <c r="B59" s="38" t="s">
        <v>12</v>
      </c>
    </row>
    <row r="60" spans="2:9" x14ac:dyDescent="0.2">
      <c r="B60" s="133" t="s">
        <v>56</v>
      </c>
      <c r="C60" s="133"/>
      <c r="D60" s="133"/>
      <c r="E60" s="133"/>
      <c r="F60" s="133"/>
      <c r="G60" s="133"/>
      <c r="H60" s="133"/>
      <c r="I60" s="133"/>
    </row>
    <row r="61" spans="2:9" ht="12" customHeight="1" x14ac:dyDescent="0.2">
      <c r="B61" s="3" t="s">
        <v>13</v>
      </c>
      <c r="D61" s="2"/>
      <c r="E61" s="2"/>
      <c r="F61" s="2"/>
      <c r="G61" s="2"/>
      <c r="H61" s="2"/>
      <c r="I61" s="2"/>
    </row>
    <row r="62" spans="2:9" x14ac:dyDescent="0.2">
      <c r="B62" s="134" t="s">
        <v>113</v>
      </c>
      <c r="C62" s="134"/>
      <c r="D62" s="134"/>
      <c r="E62" s="134"/>
      <c r="F62" s="134"/>
      <c r="G62" s="134"/>
      <c r="H62" s="134"/>
      <c r="I62" s="134"/>
    </row>
    <row r="63" spans="2:9" x14ac:dyDescent="0.2">
      <c r="B63" s="125" t="s">
        <v>104</v>
      </c>
      <c r="D63" s="2"/>
      <c r="E63" s="2"/>
      <c r="F63" s="2"/>
      <c r="G63" s="2"/>
      <c r="H63" s="2"/>
      <c r="I63" s="2"/>
    </row>
  </sheetData>
  <mergeCells count="6">
    <mergeCell ref="B42:B43"/>
    <mergeCell ref="C6:E6"/>
    <mergeCell ref="B60:I60"/>
    <mergeCell ref="B62:I62"/>
    <mergeCell ref="B25:B26"/>
    <mergeCell ref="B49:B50"/>
  </mergeCells>
  <phoneticPr fontId="3" type="noConversion"/>
  <dataValidations count="7">
    <dataValidation type="list" allowBlank="1" showInputMessage="1" showErrorMessage="1" sqref="C6" xr:uid="{64C7AF2C-F286-409D-8C5C-5F053B68FF4C}">
      <formula1>$B$44:$B$46</formula1>
    </dataValidation>
    <dataValidation type="list" allowBlank="1" showInputMessage="1" showErrorMessage="1" sqref="C12" xr:uid="{CED287B7-A4E1-4137-99B8-F33A58DC8883}">
      <formula1>#REF!</formula1>
    </dataValidation>
    <dataValidation type="whole" operator="greaterThanOrEqual" allowBlank="1" showInputMessage="1" showErrorMessage="1" sqref="C7" xr:uid="{C74501C6-4F02-46F8-A221-2A67FA842F47}">
      <formula1>1</formula1>
    </dataValidation>
    <dataValidation type="list" allowBlank="1" showInputMessage="1" showErrorMessage="1" sqref="C10 E11 F11 H10:H11 G11" xr:uid="{78BFEC98-2401-436E-A04C-0F6D234BC38A}">
      <formula1>$B$27:$B$39</formula1>
    </dataValidation>
    <dataValidation type="list" allowBlank="1" showInputMessage="1" showErrorMessage="1" sqref="B54:C54 B51:C52" xr:uid="{EC1C7FC1-B6B2-4C65-A7A6-1C6AA3ECAFE0}">
      <formula1>$B$51:$B$52</formula1>
    </dataValidation>
    <dataValidation type="list" allowBlank="1" showInputMessage="1" showErrorMessage="1" sqref="C11" xr:uid="{72AE9866-9B05-4443-8811-71AAA953851F}">
      <formula1>$B$51:$B$54</formula1>
    </dataValidation>
    <dataValidation type="whole" operator="greaterThan" showInputMessage="1" showErrorMessage="1" sqref="C9" xr:uid="{670D49ED-5C95-4109-950C-ED5A8911A305}">
      <formula1>49</formula1>
    </dataValidation>
  </dataValidations>
  <hyperlinks>
    <hyperlink ref="B61" r:id="rId1" display="C:\Users\rfc\AppData\Local\WP\GDF\Permits\ATC 15614\Hose Permeation Emission Factors for GDFs Memo.docx" xr:uid="{040892B2-2B54-4EEE-8141-E02B1EE9053B}"/>
    <hyperlink ref="B63" r:id="rId2" xr:uid="{F600230D-96D4-4D18-BAAD-CF21158E9815}"/>
  </hyperlinks>
  <pageMargins left="0.75" right="0.75" top="1" bottom="1" header="0.5" footer="0.5"/>
  <pageSetup scale="5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60B2-19C4-4B9B-918D-523099944839}">
  <dimension ref="B1:K57"/>
  <sheetViews>
    <sheetView showGridLines="0" workbookViewId="0">
      <selection activeCell="C47" sqref="C47"/>
    </sheetView>
  </sheetViews>
  <sheetFormatPr defaultRowHeight="12.75" x14ac:dyDescent="0.2"/>
  <cols>
    <col min="1" max="1" width="2.5703125" customWidth="1"/>
    <col min="2" max="2" width="10.140625" hidden="1" customWidth="1"/>
    <col min="3" max="3" width="39.140625" customWidth="1"/>
    <col min="4" max="11" width="25.85546875" customWidth="1"/>
  </cols>
  <sheetData>
    <row r="1" spans="3:11" ht="16.5" x14ac:dyDescent="0.25">
      <c r="C1" s="57" t="s">
        <v>103</v>
      </c>
    </row>
    <row r="2" spans="3:11" ht="16.5" x14ac:dyDescent="0.25">
      <c r="C2" s="57"/>
    </row>
    <row r="3" spans="3:11" ht="15.75" thickBot="1" x14ac:dyDescent="0.3">
      <c r="C3" s="92" t="s">
        <v>117</v>
      </c>
      <c r="D3" s="92"/>
      <c r="E3" s="92"/>
      <c r="F3" s="92"/>
      <c r="G3" s="92"/>
    </row>
    <row r="4" spans="3:11" s="2" customFormat="1" ht="33" customHeight="1" x14ac:dyDescent="0.2">
      <c r="C4" s="138" t="s">
        <v>40</v>
      </c>
      <c r="D4" s="63" t="s">
        <v>69</v>
      </c>
      <c r="E4" s="48" t="s">
        <v>61</v>
      </c>
      <c r="F4" s="48" t="s">
        <v>82</v>
      </c>
      <c r="G4" s="48" t="s">
        <v>83</v>
      </c>
      <c r="H4" s="48" t="s">
        <v>84</v>
      </c>
      <c r="I4" s="48" t="s">
        <v>85</v>
      </c>
      <c r="J4" s="48" t="s">
        <v>86</v>
      </c>
      <c r="K4" s="49" t="s">
        <v>87</v>
      </c>
    </row>
    <row r="5" spans="3:11" s="2" customFormat="1" ht="15" thickBot="1" x14ac:dyDescent="0.25">
      <c r="C5" s="139"/>
      <c r="D5" s="117" t="s">
        <v>52</v>
      </c>
      <c r="E5" s="118" t="s">
        <v>62</v>
      </c>
      <c r="F5" s="118" t="s">
        <v>62</v>
      </c>
      <c r="G5" s="118" t="s">
        <v>62</v>
      </c>
      <c r="H5" s="118" t="s">
        <v>62</v>
      </c>
      <c r="I5" s="118" t="s">
        <v>62</v>
      </c>
      <c r="J5" s="118" t="s">
        <v>62</v>
      </c>
      <c r="K5" s="119" t="s">
        <v>62</v>
      </c>
    </row>
    <row r="6" spans="3:11" x14ac:dyDescent="0.2">
      <c r="C6" s="66" t="s">
        <v>0</v>
      </c>
      <c r="D6" s="120">
        <f>VLOOKUP('GDF ROC EFs'!C10,'GDF ROC EFs'!B27:'GDF ROC EFs'!G39,2,0)*'GDF ROC EFs'!C8/1000</f>
        <v>0</v>
      </c>
      <c r="E6" s="121">
        <f>$D6*E38/100</f>
        <v>0</v>
      </c>
      <c r="F6" s="121">
        <f>$D6*E39/100</f>
        <v>0</v>
      </c>
      <c r="G6" s="121">
        <f>$D6*E40/100</f>
        <v>0</v>
      </c>
      <c r="H6" s="121">
        <f>$D6*E41/100</f>
        <v>0</v>
      </c>
      <c r="I6" s="121">
        <f>$D6*E42/100</f>
        <v>0</v>
      </c>
      <c r="J6" s="121">
        <f>$D6*E43/100</f>
        <v>0</v>
      </c>
      <c r="K6" s="122">
        <f>$D6*E44/100</f>
        <v>0</v>
      </c>
    </row>
    <row r="7" spans="3:11" x14ac:dyDescent="0.2">
      <c r="C7" s="60" t="s">
        <v>1</v>
      </c>
      <c r="D7" s="59">
        <f>VLOOKUP('GDF ROC EFs'!C10,'GDF ROC EFs'!B27:'GDF ROC EFs'!G39,3,0)*'GDF ROC EFs'!C8/1000</f>
        <v>0</v>
      </c>
      <c r="E7" s="94">
        <f>$D7*E38/100</f>
        <v>0</v>
      </c>
      <c r="F7" s="94">
        <f>$D7*E39/100</f>
        <v>0</v>
      </c>
      <c r="G7" s="94">
        <f>$D7*E40/100</f>
        <v>0</v>
      </c>
      <c r="H7" s="94">
        <f>$D7*E41/100</f>
        <v>0</v>
      </c>
      <c r="I7" s="94">
        <f>$D7*E42/100</f>
        <v>0</v>
      </c>
      <c r="J7" s="94">
        <f>$D7*E43/100</f>
        <v>0</v>
      </c>
      <c r="K7" s="67">
        <f>$D7*E44/100</f>
        <v>0</v>
      </c>
    </row>
    <row r="8" spans="3:11" x14ac:dyDescent="0.2">
      <c r="C8" s="60" t="s">
        <v>2</v>
      </c>
      <c r="D8" s="59">
        <f>VLOOKUP('GDF ROC EFs'!C10,'GDF ROC EFs'!B27:'GDF ROC EFs'!G39,4,0)*'GDF ROC EFs'!C8/1000</f>
        <v>0</v>
      </c>
      <c r="E8" s="94">
        <f>$D8*E38/100</f>
        <v>0</v>
      </c>
      <c r="F8" s="94">
        <f>$D8*E39/100</f>
        <v>0</v>
      </c>
      <c r="G8" s="94">
        <f>$D8*E40/100</f>
        <v>0</v>
      </c>
      <c r="H8" s="94">
        <f>$D8*E41/100</f>
        <v>0</v>
      </c>
      <c r="I8" s="94">
        <f>$D8*E42/100</f>
        <v>0</v>
      </c>
      <c r="J8" s="94">
        <f>$D8*E43/100</f>
        <v>0</v>
      </c>
      <c r="K8" s="67">
        <f>$D8*E44/100</f>
        <v>0</v>
      </c>
    </row>
    <row r="9" spans="3:11" x14ac:dyDescent="0.2">
      <c r="C9" s="60" t="s">
        <v>3</v>
      </c>
      <c r="D9" s="59">
        <f>VLOOKUP('GDF ROC EFs'!C10,'GDF ROC EFs'!B27:'GDF ROC EFs'!G39,5,0)*'GDF ROC EFs'!C8/1000</f>
        <v>0</v>
      </c>
      <c r="E9" s="94">
        <f>$D9*D38/100</f>
        <v>0</v>
      </c>
      <c r="F9" s="94">
        <f>$D9*D39/100</f>
        <v>0</v>
      </c>
      <c r="G9" s="94">
        <f>$D9*D40/100</f>
        <v>0</v>
      </c>
      <c r="H9" s="94">
        <f>$D9*D41/100</f>
        <v>0</v>
      </c>
      <c r="I9" s="94">
        <f>$D9*D42/100</f>
        <v>0</v>
      </c>
      <c r="J9" s="94">
        <f>$D9*D43/100</f>
        <v>0</v>
      </c>
      <c r="K9" s="67">
        <f>$D9*D44/100</f>
        <v>0</v>
      </c>
    </row>
    <row r="10" spans="3:11" x14ac:dyDescent="0.2">
      <c r="C10" s="60" t="s">
        <v>15</v>
      </c>
      <c r="D10" s="59">
        <f>'GDF ROC EFs'!C16*'GDF ROC EFs'!C7</f>
        <v>0</v>
      </c>
      <c r="E10" s="94">
        <f>$D10*E38/100</f>
        <v>0</v>
      </c>
      <c r="F10" s="94">
        <f>$D10*E39/100</f>
        <v>0</v>
      </c>
      <c r="G10" s="94">
        <f>$D10*E40/100</f>
        <v>0</v>
      </c>
      <c r="H10" s="94">
        <f>$D10*E41/100</f>
        <v>0</v>
      </c>
      <c r="I10" s="94">
        <f>$D10*E42/100</f>
        <v>0</v>
      </c>
      <c r="J10" s="94">
        <f>$D10*E43/100</f>
        <v>0</v>
      </c>
      <c r="K10" s="67">
        <f>$D10*E44/100</f>
        <v>0</v>
      </c>
    </row>
    <row r="11" spans="3:11" ht="14.25" customHeight="1" thickBot="1" x14ac:dyDescent="0.25">
      <c r="C11" s="61" t="s">
        <v>102</v>
      </c>
      <c r="D11" s="62">
        <f>'GDF ROC EFs'!C18*'GDF ROC EFs'!G51/1000*365</f>
        <v>0</v>
      </c>
      <c r="E11" s="95">
        <f>$D11*E38/100</f>
        <v>0</v>
      </c>
      <c r="F11" s="95">
        <f>$D11*E39/100</f>
        <v>0</v>
      </c>
      <c r="G11" s="95">
        <f>$D11*E40/100</f>
        <v>0</v>
      </c>
      <c r="H11" s="95">
        <f>$D11*E41/100</f>
        <v>0</v>
      </c>
      <c r="I11" s="95">
        <f>$D11*E42/100</f>
        <v>0</v>
      </c>
      <c r="J11" s="95">
        <f>$D11*E43/100</f>
        <v>0</v>
      </c>
      <c r="K11" s="68">
        <f>$D11*E44/100</f>
        <v>0</v>
      </c>
    </row>
    <row r="12" spans="3:11" x14ac:dyDescent="0.2">
      <c r="C12" s="35"/>
      <c r="D12" s="96"/>
      <c r="E12" s="97"/>
      <c r="F12" s="98"/>
      <c r="G12" s="98"/>
    </row>
    <row r="13" spans="3:11" ht="15.75" thickBot="1" x14ac:dyDescent="0.3">
      <c r="C13" s="92" t="s">
        <v>118</v>
      </c>
      <c r="D13" s="92"/>
      <c r="E13" s="92"/>
      <c r="F13" s="92"/>
      <c r="G13" s="92"/>
    </row>
    <row r="14" spans="3:11" ht="28.5" x14ac:dyDescent="0.2">
      <c r="C14" s="138" t="s">
        <v>40</v>
      </c>
      <c r="D14" s="48" t="s">
        <v>68</v>
      </c>
      <c r="E14" s="63" t="s">
        <v>60</v>
      </c>
      <c r="F14" s="63" t="s">
        <v>88</v>
      </c>
      <c r="G14" s="49" t="s">
        <v>89</v>
      </c>
    </row>
    <row r="15" spans="3:11" ht="15" thickBot="1" x14ac:dyDescent="0.25">
      <c r="C15" s="139"/>
      <c r="D15" s="118" t="s">
        <v>51</v>
      </c>
      <c r="E15" s="117" t="s">
        <v>51</v>
      </c>
      <c r="F15" s="117" t="s">
        <v>51</v>
      </c>
      <c r="G15" s="119" t="s">
        <v>51</v>
      </c>
    </row>
    <row r="16" spans="3:11" x14ac:dyDescent="0.2">
      <c r="C16" s="66" t="s">
        <v>0</v>
      </c>
      <c r="D16" s="120">
        <f>VLOOKUP('GDF ROC EFs'!C10,'GDF ROC EFs'!B27:'GDF ROC EFs'!G39,2,0)*D34/1000</f>
        <v>1.32</v>
      </c>
      <c r="E16" s="121">
        <f>$D16*E48/100</f>
        <v>7.2468000000000012E-3</v>
      </c>
      <c r="F16" s="121">
        <f>$D16*E49/100</f>
        <v>1.7820000000000003E-2</v>
      </c>
      <c r="G16" s="122">
        <f>$D16*E50/100</f>
        <v>6.7188000000000005E-3</v>
      </c>
    </row>
    <row r="17" spans="2:7" x14ac:dyDescent="0.2">
      <c r="C17" s="60" t="s">
        <v>1</v>
      </c>
      <c r="D17" s="59">
        <f>VLOOKUP('GDF ROC EFs'!C10,'GDF ROC EFs'!B27:'GDF ROC EFs'!G39,3,0)*D33/1000</f>
        <v>1.2E-2</v>
      </c>
      <c r="E17" s="94">
        <f>$D17*E48/100</f>
        <v>6.5880000000000013E-5</v>
      </c>
      <c r="F17" s="94">
        <f>$D17*E49/100</f>
        <v>1.6200000000000003E-4</v>
      </c>
      <c r="G17" s="67">
        <f>$D17*E50/100</f>
        <v>6.1080000000000005E-5</v>
      </c>
    </row>
    <row r="18" spans="2:7" x14ac:dyDescent="0.2">
      <c r="C18" s="60" t="s">
        <v>2</v>
      </c>
      <c r="D18" s="59">
        <f>VLOOKUP('GDF ROC EFs'!C10,'GDF ROC EFs'!B27:'GDF ROC EFs'!G39,4,0)*D33/1000</f>
        <v>0.17799999999999999</v>
      </c>
      <c r="E18" s="94">
        <f>$D18*E48/100</f>
        <v>9.7722E-4</v>
      </c>
      <c r="F18" s="94">
        <f>$D18*E49/100</f>
        <v>2.4030000000000002E-3</v>
      </c>
      <c r="G18" s="67">
        <f>$D18*E50/100</f>
        <v>9.0602E-4</v>
      </c>
    </row>
    <row r="19" spans="2:7" x14ac:dyDescent="0.2">
      <c r="C19" s="60" t="s">
        <v>3</v>
      </c>
      <c r="D19" s="59">
        <f>VLOOKUP('GDF ROC EFs'!C10,'GDF ROC EFs'!B27:'GDF ROC EFs'!G39,5,0)*D33/1000</f>
        <v>2.5000000000000001E-2</v>
      </c>
      <c r="E19" s="94">
        <f>$D19*D48/100</f>
        <v>1.7549999999999998E-4</v>
      </c>
      <c r="F19" s="94">
        <f>$D19*D49/100</f>
        <v>1.4499999999999999E-3</v>
      </c>
      <c r="G19" s="67">
        <f>$D19*D50/100</f>
        <v>1.7275000000000001E-3</v>
      </c>
    </row>
    <row r="20" spans="2:7" x14ac:dyDescent="0.2">
      <c r="C20" s="60" t="s">
        <v>15</v>
      </c>
      <c r="D20" s="123">
        <f>'GDF ROC EFs'!C7*'GDF ROC EFs'!C15/24</f>
        <v>0</v>
      </c>
      <c r="E20" s="94">
        <f>$D20*E48/100</f>
        <v>0</v>
      </c>
      <c r="F20" s="94">
        <f>$D20*E49/100</f>
        <v>0</v>
      </c>
      <c r="G20" s="67">
        <f>$D20*E50/100</f>
        <v>0</v>
      </c>
    </row>
    <row r="21" spans="2:7" ht="13.5" thickBot="1" x14ac:dyDescent="0.25">
      <c r="C21" s="61" t="s">
        <v>102</v>
      </c>
      <c r="D21" s="124">
        <f>'GDF ROC EFs'!C18*'GDF ROC EFs'!G51/(24*1000)</f>
        <v>0</v>
      </c>
      <c r="E21" s="95">
        <f>$D21*E48/100</f>
        <v>0</v>
      </c>
      <c r="F21" s="95">
        <f>$D21*E49/100</f>
        <v>0</v>
      </c>
      <c r="G21" s="68">
        <f>$D21*E50/100</f>
        <v>0</v>
      </c>
    </row>
    <row r="22" spans="2:7" ht="16.5" x14ac:dyDescent="0.25">
      <c r="C22" s="57"/>
    </row>
    <row r="23" spans="2:7" ht="15" customHeight="1" thickBot="1" x14ac:dyDescent="0.3">
      <c r="C23" s="26" t="s">
        <v>119</v>
      </c>
      <c r="D23" s="99"/>
      <c r="E23" s="99"/>
    </row>
    <row r="24" spans="2:7" s="2" customFormat="1" ht="33" customHeight="1" x14ac:dyDescent="0.2">
      <c r="C24" s="52" t="s">
        <v>43</v>
      </c>
      <c r="D24" s="48" t="s">
        <v>66</v>
      </c>
      <c r="E24" s="53" t="s">
        <v>70</v>
      </c>
    </row>
    <row r="25" spans="2:7" s="2" customFormat="1" ht="15" thickBot="1" x14ac:dyDescent="0.25">
      <c r="C25" s="64" t="s">
        <v>44</v>
      </c>
      <c r="D25" s="50" t="s">
        <v>42</v>
      </c>
      <c r="E25" s="65" t="s">
        <v>42</v>
      </c>
    </row>
    <row r="26" spans="2:7" x14ac:dyDescent="0.2">
      <c r="B26" s="5">
        <v>1000000</v>
      </c>
      <c r="C26" s="31" t="s">
        <v>16</v>
      </c>
      <c r="D26" s="32">
        <v>8800</v>
      </c>
      <c r="E26" s="33">
        <v>500</v>
      </c>
    </row>
    <row r="27" spans="2:7" x14ac:dyDescent="0.2">
      <c r="B27" s="5">
        <v>3000000</v>
      </c>
      <c r="C27" s="29" t="s">
        <v>17</v>
      </c>
      <c r="D27" s="6">
        <v>8800</v>
      </c>
      <c r="E27" s="7">
        <v>700</v>
      </c>
    </row>
    <row r="28" spans="2:7" x14ac:dyDescent="0.2">
      <c r="B28" s="5">
        <v>5000000</v>
      </c>
      <c r="C28" s="29" t="s">
        <v>18</v>
      </c>
      <c r="D28" s="6">
        <v>8800</v>
      </c>
      <c r="E28" s="8">
        <v>1000</v>
      </c>
    </row>
    <row r="29" spans="2:7" x14ac:dyDescent="0.2">
      <c r="B29" s="5">
        <v>10000000</v>
      </c>
      <c r="C29" s="29" t="s">
        <v>19</v>
      </c>
      <c r="D29" s="6">
        <v>8800</v>
      </c>
      <c r="E29" s="8">
        <v>2000</v>
      </c>
    </row>
    <row r="30" spans="2:7" ht="13.5" thickBot="1" x14ac:dyDescent="0.25">
      <c r="B30" s="5"/>
      <c r="C30" s="30" t="s">
        <v>20</v>
      </c>
      <c r="D30" s="9">
        <v>8800</v>
      </c>
      <c r="E30" s="10">
        <v>4000</v>
      </c>
    </row>
    <row r="31" spans="2:7" ht="12.75" customHeight="1" x14ac:dyDescent="0.25">
      <c r="C31" s="57"/>
    </row>
    <row r="32" spans="2:7" ht="12.75" customHeight="1" x14ac:dyDescent="0.2">
      <c r="C32" s="36" t="s">
        <v>49</v>
      </c>
    </row>
    <row r="33" spans="3:5" ht="12.75" customHeight="1" x14ac:dyDescent="0.2">
      <c r="C33" s="37" t="s">
        <v>63</v>
      </c>
      <c r="D33" s="58">
        <f>IF('GDF ROC EFs'!C$8&lt;'ROC and Toxic Emissions'!B26,'ROC and Toxic Emissions'!E26, IF('GDF ROC EFs'!C8&lt;'ROC and Toxic Emissions'!B27,'ROC and Toxic Emissions'!E27,IF('GDF ROC EFs'!C8&lt;B28,E28,IF('GDF ROC EFs'!C8&lt;B29,E29,E30))))</f>
        <v>500</v>
      </c>
      <c r="E33" s="2" t="s">
        <v>39</v>
      </c>
    </row>
    <row r="34" spans="3:5" x14ac:dyDescent="0.2">
      <c r="C34" s="35" t="s">
        <v>67</v>
      </c>
      <c r="D34" s="58">
        <f>IF('GDF ROC EFs'!C$8&lt;'ROC and Toxic Emissions'!B26,'ROC and Toxic Emissions'!D26, IF('GDF ROC EFs'!C8&lt;'ROC and Toxic Emissions'!B27,'ROC and Toxic Emissions'!D27,IF('GDF ROC EFs'!C8&lt;B28,D28,IF('GDF ROC EFs'!C8&lt;B29,D29,D30))))</f>
        <v>8800</v>
      </c>
      <c r="E34" s="2" t="s">
        <v>39</v>
      </c>
    </row>
    <row r="35" spans="3:5" x14ac:dyDescent="0.2">
      <c r="C35" s="35"/>
      <c r="D35" s="58"/>
      <c r="E35" s="2"/>
    </row>
    <row r="36" spans="3:5" s="101" customFormat="1" ht="15.75" thickBot="1" x14ac:dyDescent="0.3">
      <c r="C36" s="100" t="s">
        <v>120</v>
      </c>
    </row>
    <row r="37" spans="3:5" s="101" customFormat="1" ht="29.25" thickBot="1" x14ac:dyDescent="0.25">
      <c r="C37" s="102" t="s">
        <v>90</v>
      </c>
      <c r="D37" s="103" t="s">
        <v>91</v>
      </c>
      <c r="E37" s="104" t="s">
        <v>92</v>
      </c>
    </row>
    <row r="38" spans="3:5" s="2" customFormat="1" x14ac:dyDescent="0.2">
      <c r="C38" s="93" t="s">
        <v>93</v>
      </c>
      <c r="D38" s="105">
        <v>0.70699999999999996</v>
      </c>
      <c r="E38" s="106">
        <v>0.45700000000000002</v>
      </c>
    </row>
    <row r="39" spans="3:5" s="2" customFormat="1" x14ac:dyDescent="0.2">
      <c r="C39" s="60" t="s">
        <v>94</v>
      </c>
      <c r="D39" s="107">
        <v>1.29</v>
      </c>
      <c r="E39" s="108">
        <v>0.107</v>
      </c>
    </row>
    <row r="40" spans="3:5" s="2" customFormat="1" x14ac:dyDescent="0.2">
      <c r="C40" s="60" t="s">
        <v>95</v>
      </c>
      <c r="D40" s="107">
        <v>1.86</v>
      </c>
      <c r="E40" s="108">
        <v>1.82</v>
      </c>
    </row>
    <row r="41" spans="3:5" s="2" customFormat="1" x14ac:dyDescent="0.2">
      <c r="C41" s="60" t="s">
        <v>96</v>
      </c>
      <c r="D41" s="107">
        <v>0.17399999999999999</v>
      </c>
      <c r="E41" s="108">
        <v>4.4499999999999997E-4</v>
      </c>
    </row>
    <row r="42" spans="3:5" s="2" customFormat="1" x14ac:dyDescent="0.2">
      <c r="C42" s="60" t="s">
        <v>97</v>
      </c>
      <c r="D42" s="107">
        <v>1.22E-5</v>
      </c>
      <c r="E42" s="108">
        <v>3.594E-3</v>
      </c>
    </row>
    <row r="43" spans="3:5" s="2" customFormat="1" x14ac:dyDescent="0.2">
      <c r="C43" s="60" t="s">
        <v>98</v>
      </c>
      <c r="D43" s="107">
        <v>5.63</v>
      </c>
      <c r="E43" s="108">
        <v>1.1100000000000001</v>
      </c>
    </row>
    <row r="44" spans="3:5" s="2" customFormat="1" ht="13.5" thickBot="1" x14ac:dyDescent="0.25">
      <c r="C44" s="61" t="s">
        <v>99</v>
      </c>
      <c r="D44" s="109">
        <v>6.59</v>
      </c>
      <c r="E44" s="110">
        <v>0.40899999999999997</v>
      </c>
    </row>
    <row r="45" spans="3:5" s="2" customFormat="1" x14ac:dyDescent="0.2">
      <c r="C45" s="35"/>
    </row>
    <row r="46" spans="3:5" s="2" customFormat="1" ht="15.75" thickBot="1" x14ac:dyDescent="0.3">
      <c r="C46" s="100" t="s">
        <v>121</v>
      </c>
      <c r="D46" s="101"/>
      <c r="E46" s="101"/>
    </row>
    <row r="47" spans="3:5" s="2" customFormat="1" ht="29.25" thickBot="1" x14ac:dyDescent="0.25">
      <c r="C47" s="102" t="s">
        <v>90</v>
      </c>
      <c r="D47" s="103" t="s">
        <v>91</v>
      </c>
      <c r="E47" s="104" t="s">
        <v>92</v>
      </c>
    </row>
    <row r="48" spans="3:5" s="2" customFormat="1" x14ac:dyDescent="0.2">
      <c r="C48" s="93" t="s">
        <v>93</v>
      </c>
      <c r="D48" s="105">
        <v>0.70199999999999996</v>
      </c>
      <c r="E48" s="106">
        <v>0.54900000000000004</v>
      </c>
    </row>
    <row r="49" spans="3:7" s="2" customFormat="1" x14ac:dyDescent="0.2">
      <c r="C49" s="60" t="s">
        <v>98</v>
      </c>
      <c r="D49" s="111">
        <v>5.8</v>
      </c>
      <c r="E49" s="108">
        <v>1.35</v>
      </c>
    </row>
    <row r="50" spans="3:7" s="2" customFormat="1" ht="13.5" thickBot="1" x14ac:dyDescent="0.25">
      <c r="C50" s="61" t="s">
        <v>99</v>
      </c>
      <c r="D50" s="109">
        <v>6.91</v>
      </c>
      <c r="E50" s="110">
        <v>0.50900000000000001</v>
      </c>
    </row>
    <row r="51" spans="3:7" x14ac:dyDescent="0.2">
      <c r="C51" s="35"/>
      <c r="D51" s="96"/>
      <c r="E51" s="97"/>
      <c r="F51" s="98"/>
      <c r="G51" s="98"/>
    </row>
    <row r="52" spans="3:7" x14ac:dyDescent="0.2">
      <c r="C52" s="38" t="s">
        <v>12</v>
      </c>
      <c r="D52" s="112"/>
      <c r="E52" s="112"/>
      <c r="F52" s="112"/>
      <c r="G52" s="113"/>
    </row>
    <row r="53" spans="3:7" x14ac:dyDescent="0.2">
      <c r="C53" s="114" t="s">
        <v>100</v>
      </c>
      <c r="D53" s="114"/>
      <c r="E53" s="114"/>
      <c r="F53" s="114"/>
      <c r="G53" s="114"/>
    </row>
    <row r="54" spans="3:7" x14ac:dyDescent="0.2">
      <c r="C54" s="115" t="s">
        <v>101</v>
      </c>
      <c r="D54" s="116"/>
      <c r="E54" s="116"/>
      <c r="F54" s="116"/>
      <c r="G54" s="116"/>
    </row>
    <row r="55" spans="3:7" x14ac:dyDescent="0.2">
      <c r="C55" s="28"/>
    </row>
    <row r="56" spans="3:7" x14ac:dyDescent="0.2">
      <c r="C56" s="38" t="s">
        <v>45</v>
      </c>
    </row>
    <row r="57" spans="3:7" x14ac:dyDescent="0.2">
      <c r="C57" s="40" t="s">
        <v>73</v>
      </c>
      <c r="D57" s="34"/>
    </row>
  </sheetData>
  <mergeCells count="2">
    <mergeCell ref="C4:C5"/>
    <mergeCell ref="C14:C15"/>
  </mergeCells>
  <hyperlinks>
    <hyperlink ref="C54" r:id="rId1" xr:uid="{8A4CC676-7D51-4BC6-A295-2D59B0AC586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GDF ROC EFs</vt:lpstr>
      <vt:lpstr>ROC and Toxic Emissions</vt:lpstr>
    </vt:vector>
  </TitlesOfParts>
  <Company>SBC APCD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Gasoline Dispensing Facility (GDF) Emissions Calculations</dc:title>
  <dc:subject>Gasoline Dispensing Facility (GDF) Emissions Calculations</dc:subject>
  <dc:creator>Mike G.</dc:creator>
  <dc:description>Ver 1.0</dc:description>
  <cp:lastModifiedBy>Charlotte I. Mountain</cp:lastModifiedBy>
  <cp:lastPrinted>2004-08-31T20:47:42Z</cp:lastPrinted>
  <dcterms:created xsi:type="dcterms:W3CDTF">2004-08-31T20:26:44Z</dcterms:created>
  <dcterms:modified xsi:type="dcterms:W3CDTF">2024-10-22T18:16:25Z</dcterms:modified>
</cp:coreProperties>
</file>