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capcd.org\shares\Groups\ENGR\LIBRARY\Permitting\Emission Calculation Spreadsheets\Current Versions\External Use\"/>
    </mc:Choice>
  </mc:AlternateContent>
  <bookViews>
    <workbookView xWindow="360" yWindow="45" windowWidth="13395" windowHeight="12330"/>
  </bookViews>
  <sheets>
    <sheet name="FHC CALC KV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0">#REF!</definedName>
    <definedName name="\M">#REF!</definedName>
    <definedName name="\R">#REF!</definedName>
    <definedName name="\S">#REF!</definedName>
    <definedName name="_HHV2">#REF!</definedName>
    <definedName name="_MFR1">#REF!</definedName>
    <definedName name="_S">#REF!</definedName>
    <definedName name="_T">#REF!</definedName>
    <definedName name="att_no">#REF!</definedName>
    <definedName name="BHP">#REF!</definedName>
    <definedName name="BOILER_HP">#REF!</definedName>
    <definedName name="BOILER_MFG">#REF!</definedName>
    <definedName name="BOILER_MOD">#REF!</definedName>
    <definedName name="BOILER_SER">#REF!</definedName>
    <definedName name="BOILER_TYPE">#REF!</definedName>
    <definedName name="BOILT2">#REF!</definedName>
    <definedName name="BSFC">#REF!</definedName>
    <definedName name="BURNER_MFG">#REF!</definedName>
    <definedName name="BURNER_MOD">#REF!</definedName>
    <definedName name="BURNER_TYPE">#REF!</definedName>
    <definedName name="BURNT2">#REF!</definedName>
    <definedName name="cargo_tank">#REF!</definedName>
    <definedName name="CLASS">#REF!</definedName>
    <definedName name="COEF">#REF!</definedName>
    <definedName name="COEFI">[1]C!$E$20</definedName>
    <definedName name="COYEAR">[2]ICE!$J$65</definedName>
    <definedName name="DAILY_OP">#REF!</definedName>
    <definedName name="DAILYOP2">#REF!</definedName>
    <definedName name="den_d2">#REF!</definedName>
    <definedName name="density">#REF!</definedName>
    <definedName name="EFACTOR1">#REF!</definedName>
    <definedName name="EFACTOR2">#REF!</definedName>
    <definedName name="EFACTOR3">#REF!</definedName>
    <definedName name="EFACTOR4">#REF!</definedName>
    <definedName name="EFACTOR5">#REF!</definedName>
    <definedName name="EFUN2">#REF!</definedName>
    <definedName name="EFUNITS">#REF!</definedName>
    <definedName name="ERRMSG">#REF!</definedName>
    <definedName name="ERROR">#REF!</definedName>
    <definedName name="EXIT">#REF!</definedName>
    <definedName name="FACILITY">#REF!</definedName>
    <definedName name="FHCday">'[3]FHC CALC KVB'!$D$59</definedName>
    <definedName name="FHCyear">'[3]FHC CALC KVB'!$E$59</definedName>
    <definedName name="FILE">#REF!</definedName>
    <definedName name="FIRETY2">#REF!</definedName>
    <definedName name="FIRETYPE">#REF!</definedName>
    <definedName name="FOCF">#REF!</definedName>
    <definedName name="FUEL">#REF!</definedName>
    <definedName name="FUELHR">#REF!</definedName>
    <definedName name="FUELSP1">#REF!</definedName>
    <definedName name="FUELSP2">#REF!</definedName>
    <definedName name="FUELSP3">#REF!</definedName>
    <definedName name="FUELSP4">#REF!</definedName>
    <definedName name="FUELSP5">#REF!</definedName>
    <definedName name="FUELT2">#REF!</definedName>
    <definedName name="FUELYR">#REF!</definedName>
    <definedName name="HHV">#REF!</definedName>
    <definedName name="HHVU1">#REF!</definedName>
    <definedName name="HHVUNIT">#REF!</definedName>
    <definedName name="Lease_Model">'FHC CALC KVB'!$C$29:$C$34</definedName>
    <definedName name="LOAD_FACT">#REF!</definedName>
    <definedName name="LOOKUP">#REF!</definedName>
    <definedName name="MAC">#REF!</definedName>
    <definedName name="MAINMENU">#REF!</definedName>
    <definedName name="MAX_FIRE_RATE">#REF!</definedName>
    <definedName name="MEN">#REF!</definedName>
    <definedName name="MENU">#REF!</definedName>
    <definedName name="MESSAGE_CELL">#REF!</definedName>
    <definedName name="Module2.printsheet">[4]!Module2.printsheet</definedName>
    <definedName name="MW_H2S">#REF!</definedName>
    <definedName name="MW_S">#REF!</definedName>
    <definedName name="N2EF">#REF!</definedName>
    <definedName name="NITWT">#REF!</definedName>
    <definedName name="NOXEF">#REF!</definedName>
    <definedName name="NOxEF_Util_Norm">#REF!</definedName>
    <definedName name="NOXYEAR">[2]ICE!$F$65</definedName>
    <definedName name="NXEF">[1]C!$C$11</definedName>
    <definedName name="NXEFI">[1]C!$C$20</definedName>
    <definedName name="OPHOURS">#REF!</definedName>
    <definedName name="OPHRS">#REF!</definedName>
    <definedName name="OWNER">#REF!</definedName>
    <definedName name="OWNER2">#REF!</definedName>
    <definedName name="PERM2">#REF!</definedName>
    <definedName name="PERMIT_NO">#REF!</definedName>
    <definedName name="PM10EF">#REF!</definedName>
    <definedName name="PMEFI">[1]C!$G$20</definedName>
    <definedName name="PMYEAR">[2]ICE!$N$65</definedName>
    <definedName name="_xlnm.Print_Area" localSheetId="0">'FHC CALC KVB'!$C$3:$J$125</definedName>
    <definedName name="_xlnm.Print_Titles" localSheetId="0">'FHC CALC KVB'!$3:$3</definedName>
    <definedName name="print01">[5]!print01</definedName>
    <definedName name="PRINT1">#REF!</definedName>
    <definedName name="print2">#REF!</definedName>
    <definedName name="PVday">[3]CMPFUG!$I$27</definedName>
    <definedName name="PVyear">[3]CMPFUG!$J$27</definedName>
    <definedName name="Radius1">[6]Values!$B$3</definedName>
    <definedName name="Radius2">[6]Values!$B$5</definedName>
    <definedName name="RC_">#REF!</definedName>
    <definedName name="RECALC">#REF!</definedName>
    <definedName name="RESULTS">#REF!</definedName>
    <definedName name="ROCEF">#REF!</definedName>
    <definedName name="ROCEFI">[1]C!$D$20</definedName>
    <definedName name="ROCYEAR">[2]ICE!$H$65</definedName>
    <definedName name="RSTART">#REF!</definedName>
    <definedName name="Rule342">#REF!</definedName>
    <definedName name="RUN">#REF!</definedName>
    <definedName name="SAVE">#REF!</definedName>
    <definedName name="SCREEN">#REF!</definedName>
    <definedName name="SO2EF">#REF!</definedName>
    <definedName name="SO3EF">#REF!</definedName>
    <definedName name="SOXEF">[1]C!$F$12</definedName>
    <definedName name="SOXEFI">[1]C!$F$21</definedName>
    <definedName name="SOXYEAR">[2]ICE!$L$65</definedName>
    <definedName name="ST_VRU_EFF">#REF!</definedName>
    <definedName name="SUB">#REF!</definedName>
    <definedName name="Submerged_loading_of_a_clean_cargo_tank">#REF!</definedName>
    <definedName name="SULFCON">#REF!</definedName>
    <definedName name="SULFUNIT">#REF!</definedName>
    <definedName name="SULFUR">#REF!</definedName>
    <definedName name="SULFUR2">#REF!</definedName>
    <definedName name="SUNITS">#REF!</definedName>
    <definedName name="T1day">#REF!</definedName>
    <definedName name="T1year">#REF!</definedName>
    <definedName name="T2day">'[3]1000 bbl tank'!$G$64</definedName>
    <definedName name="T2year">'[3]1000 bbl tank'!$H$64</definedName>
    <definedName name="T3day">'[3]302 bbl tank'!$G$64</definedName>
    <definedName name="T3year">'[3]302 bbl tank'!$H$64</definedName>
    <definedName name="T4day">'[3]Test Tank'!$G$64</definedName>
    <definedName name="T4year">'[3]Test Tank'!$H$64</definedName>
    <definedName name="TABLE">#REF!</definedName>
    <definedName name="TEMP">#REF!</definedName>
    <definedName name="TSPEF">#REF!</definedName>
    <definedName name="UtilityNOx">#REF!</definedName>
    <definedName name="VIEW">#REF!</definedName>
    <definedName name="VRU_EFF">#REF!</definedName>
    <definedName name="YEARLY_OP">#REF!</definedName>
    <definedName name="YEAROP2">#REF!</definedName>
  </definedNames>
  <calcPr calcId="162913"/>
</workbook>
</file>

<file path=xl/calcChain.xml><?xml version="1.0" encoding="utf-8"?>
<calcChain xmlns="http://schemas.openxmlformats.org/spreadsheetml/2006/main">
  <c r="H118" i="1" l="1"/>
  <c r="G53" i="1" l="1"/>
  <c r="G52" i="1"/>
  <c r="G50" i="1"/>
  <c r="G49" i="1"/>
  <c r="G16" i="1" l="1"/>
  <c r="H88" i="1" l="1"/>
  <c r="H90" i="1" s="1"/>
  <c r="H98" i="1"/>
  <c r="H100" i="1" s="1"/>
  <c r="H108" i="1"/>
  <c r="H110" i="1" s="1"/>
  <c r="H120" i="1"/>
  <c r="J99" i="1"/>
  <c r="J100" i="1" s="1"/>
  <c r="J89" i="1"/>
  <c r="J90" i="1" s="1"/>
  <c r="J119" i="1" l="1"/>
  <c r="J120" i="1" s="1"/>
  <c r="G117" i="1"/>
  <c r="J109" i="1"/>
  <c r="J110" i="1" s="1"/>
  <c r="G107" i="1"/>
  <c r="G110" i="1" s="1"/>
  <c r="F53" i="1"/>
  <c r="G120" i="1" l="1"/>
  <c r="F51" i="1" l="1"/>
  <c r="G51" i="1" s="1"/>
  <c r="G97" i="1"/>
  <c r="G100" i="1" s="1"/>
  <c r="E72" i="1"/>
  <c r="G87" i="1" l="1"/>
  <c r="G90" i="1" s="1"/>
  <c r="E74" i="1"/>
  <c r="E34" i="1"/>
  <c r="D34" i="1"/>
  <c r="E33" i="1"/>
  <c r="D33" i="1"/>
  <c r="E32" i="1"/>
  <c r="D32" i="1"/>
  <c r="E31" i="1"/>
  <c r="D31" i="1"/>
  <c r="E30" i="1"/>
  <c r="D30" i="1"/>
  <c r="E29" i="1"/>
  <c r="D29" i="1"/>
  <c r="F50" i="1" l="1"/>
  <c r="F32" i="1"/>
  <c r="G23" i="1" s="1"/>
  <c r="F49" i="1" s="1"/>
  <c r="F34" i="1"/>
  <c r="F29" i="1"/>
  <c r="F31" i="1"/>
  <c r="F33" i="1"/>
  <c r="F30" i="1"/>
  <c r="E73" i="1"/>
  <c r="E75" i="1"/>
  <c r="E76" i="1" l="1"/>
  <c r="F52" i="1" s="1"/>
  <c r="F54" i="1" l="1"/>
  <c r="G54" i="1" s="1"/>
</calcChain>
</file>

<file path=xl/sharedStrings.xml><?xml version="1.0" encoding="utf-8"?>
<sst xmlns="http://schemas.openxmlformats.org/spreadsheetml/2006/main" count="158" uniqueCount="101">
  <si>
    <t>Page 1 of 2</t>
  </si>
  <si>
    <t>Date:</t>
  </si>
  <si>
    <t>Value</t>
  </si>
  <si>
    <t>Units</t>
  </si>
  <si>
    <t>wells</t>
  </si>
  <si>
    <t>scf/day</t>
  </si>
  <si>
    <t>bbls/day</t>
  </si>
  <si>
    <t>scf/bbl</t>
  </si>
  <si>
    <t>degrees API</t>
  </si>
  <si>
    <t>dimensionless</t>
  </si>
  <si>
    <t>lb/day-well</t>
  </si>
  <si>
    <t>Lease Model</t>
  </si>
  <si>
    <t>lbs/day-well</t>
  </si>
  <si>
    <t>Model #1:  Number of wells on lease is less than 10 and the GOR is less than 500.</t>
  </si>
  <si>
    <t>Model #2:  Number of wells on lease is between 10 and 50 and the GOR is less than 500.</t>
  </si>
  <si>
    <t>Model #3:  Number of wells on lease is greater than 50 and the GOR is less than 500.</t>
  </si>
  <si>
    <t>Model #4:  Number of wells on lease is less than 10 and the GOR is greater than 500.</t>
  </si>
  <si>
    <t>Model #5:  Number of wells on lease is between 10 and 50 and the GOR is greater than 500.</t>
  </si>
  <si>
    <t>Model #6:  Number of wells on lease is greater than 50 and the GOR is greater than 500.</t>
  </si>
  <si>
    <t>Enhanced Oil Recovery Fields</t>
  </si>
  <si>
    <t>Page 2 of 2</t>
  </si>
  <si>
    <t>Pumps, Compressors, and Well Heads Uncontrolled Emission Calculations</t>
  </si>
  <si>
    <t>Number of Wells</t>
  </si>
  <si>
    <t>FHC from Pumps</t>
  </si>
  <si>
    <t>FHC from Compressors</t>
  </si>
  <si>
    <t>Heavy Oil Service</t>
  </si>
  <si>
    <t>Light Oil Service</t>
  </si>
  <si>
    <t>Primary</t>
  </si>
  <si>
    <t>Secondary</t>
  </si>
  <si>
    <t>Tertiary</t>
  </si>
  <si>
    <t>Number</t>
  </si>
  <si>
    <t>Open Top</t>
  </si>
  <si>
    <r>
      <t>Well Cellars</t>
    </r>
    <r>
      <rPr>
        <vertAlign val="superscript"/>
        <sz val="11"/>
        <rFont val="Arial"/>
        <family val="2"/>
      </rPr>
      <t>(a)</t>
    </r>
  </si>
  <si>
    <t>Permit Number:</t>
  </si>
  <si>
    <t>Facility:</t>
  </si>
  <si>
    <t>Input Data</t>
  </si>
  <si>
    <t>Facility Information</t>
  </si>
  <si>
    <t>Emission Factor Based on Lease Model</t>
  </si>
  <si>
    <t>Valve Without 
Ethane</t>
  </si>
  <si>
    <t>Fitting Without 
Ethane</t>
  </si>
  <si>
    <t>Composite Without 
Ethane</t>
  </si>
  <si>
    <t>Emission Source</t>
  </si>
  <si>
    <t>Notes:</t>
  </si>
  <si>
    <t>a.  Emissions amount reflect an 80% reduction due to Rule 331 implementation.</t>
  </si>
  <si>
    <t>b.  Emissions reflect control efficiencies where applicable.</t>
  </si>
  <si>
    <t>c.  Due to rounding, the totals may not appear correct</t>
  </si>
  <si>
    <r>
      <t>Pumps/Compressors/Well Heads</t>
    </r>
    <r>
      <rPr>
        <vertAlign val="superscript"/>
        <sz val="11"/>
        <rFont val="Arial"/>
        <family val="2"/>
      </rPr>
      <t>a</t>
    </r>
  </si>
  <si>
    <r>
      <t>Oil/Water Separators</t>
    </r>
    <r>
      <rPr>
        <vertAlign val="superscript"/>
        <sz val="11"/>
        <rFont val="Arial"/>
        <family val="2"/>
      </rPr>
      <t>b</t>
    </r>
  </si>
  <si>
    <r>
      <t>Sumps, Wastewater Tanks and Well Cellars</t>
    </r>
    <r>
      <rPr>
        <vertAlign val="superscript"/>
        <sz val="11"/>
        <rFont val="Arial"/>
        <family val="2"/>
      </rPr>
      <t>b</t>
    </r>
  </si>
  <si>
    <r>
      <t>Valves and Fittings</t>
    </r>
    <r>
      <rPr>
        <vertAlign val="superscript"/>
        <sz val="11"/>
        <rFont val="Arial"/>
        <family val="2"/>
      </rPr>
      <t>a</t>
    </r>
  </si>
  <si>
    <t>Reference</t>
  </si>
  <si>
    <t>Permit Application</t>
  </si>
  <si>
    <t>Table Below</t>
  </si>
  <si>
    <t>User Input</t>
  </si>
  <si>
    <t>Total ROC Emissions</t>
  </si>
  <si>
    <t>Wellhead Emissions</t>
  </si>
  <si>
    <t>Calculated Value</t>
  </si>
  <si>
    <r>
      <t>lb ROC/ft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-day</t>
    </r>
  </si>
  <si>
    <t>Equipment Type</t>
  </si>
  <si>
    <t>a. A 70% reduction is applied for implementation of Rule 344 (Sumps, Pits, and Well Cellars).</t>
  </si>
  <si>
    <r>
      <t>Total Area (ft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</si>
  <si>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t>a. A 85% reduction is applied.</t>
  </si>
  <si>
    <r>
      <t>Covered Wastewater 
Tank</t>
    </r>
    <r>
      <rPr>
        <vertAlign val="superscript"/>
        <sz val="11"/>
        <rFont val="Arial"/>
        <family val="2"/>
      </rPr>
      <t>(a)</t>
    </r>
  </si>
  <si>
    <t>COVERED WASTEWATER TANKS</t>
  </si>
  <si>
    <t>WELL CELLARS</t>
  </si>
  <si>
    <t>COVERED WASTEWATER TANK WITH VAPOR RECOVERY</t>
  </si>
  <si>
    <r>
      <t>Covered Wastewater 
Tank with Vapor Recovery</t>
    </r>
    <r>
      <rPr>
        <vertAlign val="superscript"/>
        <sz val="11"/>
        <rFont val="Arial"/>
        <family val="2"/>
      </rPr>
      <t>(a)</t>
    </r>
  </si>
  <si>
    <t>a. A 95% reduction is applied.</t>
  </si>
  <si>
    <t>b. Emission Factor of 560 lb-ROC/Mmgal</t>
  </si>
  <si>
    <t>a. A 85% reduction is applied for covered, 85% for connected to vapor recovery, and 0% for open top.</t>
  </si>
  <si>
    <t>Total Throughput (MMgal)</t>
  </si>
  <si>
    <t>Daily ROC Emissions (lb/day)</t>
  </si>
  <si>
    <t>Type</t>
  </si>
  <si>
    <t>Covered</t>
  </si>
  <si>
    <t>Vapor Recovery</t>
  </si>
  <si>
    <t>Unit Type Emission Calculations</t>
  </si>
  <si>
    <t>lb-ROC/day</t>
  </si>
  <si>
    <t>Reference: CARB speciation profiles numbers 529, 530, 531, 532</t>
  </si>
  <si>
    <r>
      <t xml:space="preserve">Total ROC Potential to Emit </t>
    </r>
    <r>
      <rPr>
        <b/>
        <vertAlign val="superscript"/>
        <sz val="11"/>
        <rFont val="Arial"/>
        <family val="2"/>
      </rPr>
      <t>c</t>
    </r>
  </si>
  <si>
    <t>CARB KVB ROC Potential to Emit</t>
  </si>
  <si>
    <t>lb/day</t>
  </si>
  <si>
    <t>TPY</t>
  </si>
  <si>
    <t>Attachment:</t>
  </si>
  <si>
    <t>Processed By:</t>
  </si>
  <si>
    <t>FUGITIVE HYDROCARBON EMISSION CALCULATIONS - CARB/KVB METHOD (Ver. 6.0)</t>
  </si>
  <si>
    <t>Number of Active Wells at Facility…………...………….…………………………</t>
  </si>
  <si>
    <t>Facility Gas Production……………….………….………………………………….</t>
  </si>
  <si>
    <t>Facility Dry Oil Production………………...……………………...……………….</t>
  </si>
  <si>
    <t>Facility Gas to Oil Ratio (if &gt; 500 then default to 501)……………...…...……</t>
  </si>
  <si>
    <t>API Gravity……….……………..……………………………………………………</t>
  </si>
  <si>
    <t>Facility Model Number……………….…….………………………………………</t>
  </si>
  <si>
    <t>No. of Steam Drive Wells with Control Vents……………..……...…………….</t>
  </si>
  <si>
    <t>No. of Steam Drive Wells with Uncontrolled Vents……………...………..……</t>
  </si>
  <si>
    <t>No. of Cyclic Steam Drive Wells with Control Vents…………...…………...….</t>
  </si>
  <si>
    <t>No. of Cyclic Steam Drive Wells with Uncontrolled Vents………………....…</t>
  </si>
  <si>
    <t>Composite Valve and Fitting Emission Factor……………………...…….……</t>
  </si>
  <si>
    <t>Well Cellars, Sumps, Covered Wastewater Tanks, and Oil/Water Separators</t>
  </si>
  <si>
    <t>Separation Level</t>
  </si>
  <si>
    <t>Level of Separation</t>
  </si>
  <si>
    <r>
      <t xml:space="preserve">Oil and Water Separators </t>
    </r>
    <r>
      <rPr>
        <vertAlign val="superscript"/>
        <sz val="11"/>
        <rFont val="Arial"/>
        <family val="2"/>
      </rPr>
      <t>(a)(b)</t>
    </r>
  </si>
  <si>
    <t>OIL AND WATER SEPARATORS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</si>
</sst>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b/>
      <sz val="14"/>
      <name val="Arial"/>
      <family val="2"/>
    </font>
    <font>
      <i/>
      <u/>
      <sz val="11"/>
      <name val="Arial"/>
      <family val="2"/>
    </font>
    <font>
      <i/>
      <u/>
      <sz val="10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3">
    <xf numFmtId="0" fontId="0" fillId="0" borderId="0" xfId="0"/>
    <xf numFmtId="0" fontId="2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horizontal="center" vertical="center"/>
    </xf>
    <xf numFmtId="0" fontId="2" fillId="0" borderId="0" xfId="1" quotePrefix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horizontal="left" vertical="center"/>
    </xf>
    <xf numFmtId="164" fontId="2" fillId="0" borderId="0" xfId="1" applyNumberFormat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vertical="center"/>
    </xf>
    <xf numFmtId="164" fontId="2" fillId="0" borderId="0" xfId="1" applyNumberFormat="1" applyFont="1" applyBorder="1" applyAlignment="1" applyProtection="1">
      <alignment horizontal="left" vertical="center"/>
    </xf>
    <xf numFmtId="0" fontId="3" fillId="0" borderId="16" xfId="1" applyFont="1" applyBorder="1" applyAlignment="1" applyProtection="1">
      <alignment horizontal="center" vertical="center"/>
    </xf>
    <xf numFmtId="0" fontId="3" fillId="0" borderId="16" xfId="1" quotePrefix="1" applyFont="1" applyBorder="1" applyAlignment="1" applyProtection="1">
      <alignment horizontal="center" vertical="center" wrapText="1"/>
    </xf>
    <xf numFmtId="0" fontId="2" fillId="0" borderId="14" xfId="1" applyFont="1" applyBorder="1" applyAlignment="1" applyProtection="1">
      <alignment horizontal="left" vertical="center"/>
    </xf>
    <xf numFmtId="164" fontId="2" fillId="0" borderId="14" xfId="1" applyNumberFormat="1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horizontal="center" vertical="center"/>
    </xf>
    <xf numFmtId="0" fontId="1" fillId="0" borderId="2" xfId="1" applyBorder="1" applyAlignment="1" applyProtection="1">
      <alignment vertical="center"/>
    </xf>
    <xf numFmtId="0" fontId="1" fillId="0" borderId="0" xfId="1" applyAlignment="1" applyProtection="1">
      <alignment vertical="center"/>
    </xf>
    <xf numFmtId="0" fontId="1" fillId="0" borderId="3" xfId="1" applyBorder="1" applyAlignment="1" applyProtection="1">
      <alignment vertical="center"/>
    </xf>
    <xf numFmtId="0" fontId="3" fillId="0" borderId="0" xfId="1" quotePrefix="1" applyFont="1" applyBorder="1" applyAlignment="1" applyProtection="1">
      <alignment horizontal="left" vertical="center"/>
    </xf>
    <xf numFmtId="15" fontId="2" fillId="0" borderId="0" xfId="1" applyNumberFormat="1" applyFont="1" applyBorder="1" applyAlignment="1" applyProtection="1">
      <alignment horizontal="left" vertical="center"/>
    </xf>
    <xf numFmtId="0" fontId="2" fillId="0" borderId="3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4" fillId="0" borderId="3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center" vertical="center"/>
    </xf>
    <xf numFmtId="0" fontId="2" fillId="0" borderId="15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2" fillId="0" borderId="8" xfId="1" applyFont="1" applyBorder="1" applyAlignment="1" applyProtection="1">
      <alignment horizontal="center" vertical="center"/>
    </xf>
    <xf numFmtId="164" fontId="2" fillId="0" borderId="8" xfId="1" applyNumberFormat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164" fontId="2" fillId="0" borderId="7" xfId="1" applyNumberFormat="1" applyFont="1" applyBorder="1" applyAlignment="1" applyProtection="1">
      <alignment horizontal="center" vertical="center"/>
    </xf>
    <xf numFmtId="0" fontId="2" fillId="0" borderId="14" xfId="1" quotePrefix="1" applyFont="1" applyBorder="1" applyAlignment="1" applyProtection="1">
      <alignment horizontal="left" vertical="center"/>
    </xf>
    <xf numFmtId="0" fontId="2" fillId="0" borderId="14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centerContinuous" vertical="center"/>
    </xf>
    <xf numFmtId="0" fontId="2" fillId="0" borderId="0" xfId="1" applyFont="1" applyBorder="1" applyAlignment="1" applyProtection="1">
      <alignment horizontal="centerContinuous" vertical="center"/>
    </xf>
    <xf numFmtId="0" fontId="3" fillId="0" borderId="20" xfId="1" applyFont="1" applyBorder="1" applyAlignment="1" applyProtection="1">
      <alignment vertical="center"/>
    </xf>
    <xf numFmtId="0" fontId="3" fillId="0" borderId="21" xfId="1" applyFont="1" applyBorder="1" applyAlignment="1" applyProtection="1">
      <alignment vertical="center"/>
    </xf>
    <xf numFmtId="0" fontId="3" fillId="0" borderId="16" xfId="1" quotePrefix="1" applyFont="1" applyBorder="1" applyAlignment="1" applyProtection="1">
      <alignment horizontal="center" vertical="center"/>
    </xf>
    <xf numFmtId="0" fontId="2" fillId="0" borderId="3" xfId="1" quotePrefix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/>
    </xf>
    <xf numFmtId="0" fontId="2" fillId="0" borderId="9" xfId="1" applyFont="1" applyBorder="1" applyAlignment="1" applyProtection="1">
      <alignment vertical="center"/>
    </xf>
    <xf numFmtId="2" fontId="2" fillId="0" borderId="8" xfId="1" applyNumberFormat="1" applyFont="1" applyBorder="1" applyAlignment="1" applyProtection="1">
      <alignment horizontal="center" vertical="center"/>
    </xf>
    <xf numFmtId="2" fontId="2" fillId="0" borderId="3" xfId="1" applyNumberFormat="1" applyFont="1" applyBorder="1" applyAlignment="1" applyProtection="1">
      <alignment horizontal="center" vertical="center"/>
    </xf>
    <xf numFmtId="0" fontId="2" fillId="0" borderId="17" xfId="1" quotePrefix="1" applyFont="1" applyBorder="1" applyAlignment="1" applyProtection="1">
      <alignment vertical="center"/>
    </xf>
    <xf numFmtId="0" fontId="2" fillId="0" borderId="19" xfId="1" quotePrefix="1" applyFont="1" applyBorder="1" applyAlignment="1" applyProtection="1">
      <alignment vertical="center"/>
    </xf>
    <xf numFmtId="2" fontId="2" fillId="0" borderId="7" xfId="1" applyNumberFormat="1" applyFont="1" applyBorder="1" applyAlignment="1" applyProtection="1">
      <alignment horizontal="center" vertical="center"/>
    </xf>
    <xf numFmtId="0" fontId="2" fillId="0" borderId="10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2" fontId="2" fillId="0" borderId="24" xfId="1" applyNumberFormat="1" applyFont="1" applyBorder="1" applyAlignment="1" applyProtection="1">
      <alignment horizontal="center" vertical="center"/>
    </xf>
    <xf numFmtId="2" fontId="3" fillId="0" borderId="23" xfId="1" applyNumberFormat="1" applyFont="1" applyBorder="1" applyAlignment="1" applyProtection="1">
      <alignment horizontal="center" vertical="center"/>
    </xf>
    <xf numFmtId="2" fontId="3" fillId="0" borderId="3" xfId="1" applyNumberFormat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1" fillId="0" borderId="0" xfId="1" quotePrefix="1" applyFont="1" applyBorder="1" applyAlignment="1" applyProtection="1">
      <alignment horizontal="left" vertical="center"/>
    </xf>
    <xf numFmtId="0" fontId="2" fillId="0" borderId="5" xfId="1" applyFont="1" applyBorder="1" applyAlignment="1" applyProtection="1">
      <alignment vertical="center"/>
    </xf>
    <xf numFmtId="0" fontId="3" fillId="0" borderId="0" xfId="1" quotePrefix="1" applyFont="1" applyBorder="1" applyAlignment="1" applyProtection="1">
      <alignment horizontal="centerContinuous" vertical="center"/>
    </xf>
    <xf numFmtId="0" fontId="2" fillId="0" borderId="3" xfId="1" applyFont="1" applyBorder="1" applyAlignment="1" applyProtection="1">
      <alignment horizontal="centerContinuous" vertical="center"/>
    </xf>
    <xf numFmtId="0" fontId="3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centerContinuous" vertical="center"/>
    </xf>
    <xf numFmtId="0" fontId="2" fillId="0" borderId="8" xfId="1" applyFont="1" applyBorder="1" applyAlignment="1" applyProtection="1">
      <alignment vertical="center"/>
    </xf>
    <xf numFmtId="0" fontId="2" fillId="0" borderId="8" xfId="1" applyFont="1" applyBorder="1" applyAlignment="1" applyProtection="1">
      <alignment horizontal="left" vertical="center"/>
    </xf>
    <xf numFmtId="0" fontId="2" fillId="0" borderId="7" xfId="1" applyFont="1" applyBorder="1" applyAlignment="1" applyProtection="1">
      <alignment vertical="center"/>
    </xf>
    <xf numFmtId="0" fontId="2" fillId="0" borderId="7" xfId="1" quotePrefix="1" applyFont="1" applyBorder="1" applyAlignment="1" applyProtection="1">
      <alignment horizontal="left" vertical="center"/>
    </xf>
    <xf numFmtId="0" fontId="2" fillId="0" borderId="24" xfId="1" quotePrefix="1" applyFont="1" applyBorder="1" applyAlignment="1" applyProtection="1">
      <alignment horizontal="left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vertical="center"/>
    </xf>
    <xf numFmtId="0" fontId="2" fillId="0" borderId="23" xfId="1" applyFont="1" applyBorder="1" applyAlignment="1" applyProtection="1">
      <alignment vertical="center"/>
    </xf>
    <xf numFmtId="0" fontId="2" fillId="0" borderId="23" xfId="1" quotePrefix="1" applyFont="1" applyBorder="1" applyAlignment="1" applyProtection="1">
      <alignment horizontal="left" vertical="center"/>
    </xf>
    <xf numFmtId="0" fontId="9" fillId="0" borderId="0" xfId="1" quotePrefix="1" applyFont="1" applyBorder="1" applyAlignment="1" applyProtection="1">
      <alignment horizontal="left" vertical="center"/>
    </xf>
    <xf numFmtId="0" fontId="2" fillId="0" borderId="8" xfId="1" quotePrefix="1" applyFont="1" applyBorder="1" applyAlignment="1" applyProtection="1">
      <alignment horizontal="center" vertical="center"/>
    </xf>
    <xf numFmtId="0" fontId="2" fillId="0" borderId="7" xfId="1" quotePrefix="1" applyFont="1" applyBorder="1" applyAlignment="1" applyProtection="1">
      <alignment horizontal="center" vertical="center"/>
    </xf>
    <xf numFmtId="0" fontId="2" fillId="0" borderId="0" xfId="1" quotePrefix="1" applyFont="1" applyBorder="1" applyAlignment="1" applyProtection="1">
      <alignment horizontal="center" vertical="center"/>
    </xf>
    <xf numFmtId="4" fontId="2" fillId="0" borderId="8" xfId="1" applyNumberFormat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  <protection locked="0"/>
    </xf>
    <xf numFmtId="3" fontId="2" fillId="0" borderId="7" xfId="1" applyNumberFormat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3" fontId="2" fillId="0" borderId="24" xfId="1" applyNumberFormat="1" applyFont="1" applyBorder="1" applyAlignment="1" applyProtection="1">
      <alignment horizontal="center" vertical="center"/>
      <protection locked="0"/>
    </xf>
    <xf numFmtId="2" fontId="2" fillId="0" borderId="0" xfId="1" applyNumberFormat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vertical="center"/>
    </xf>
    <xf numFmtId="0" fontId="12" fillId="0" borderId="8" xfId="1" applyFont="1" applyBorder="1" applyAlignment="1" applyProtection="1">
      <alignment horizontal="center" vertical="center"/>
      <protection locked="0"/>
    </xf>
    <xf numFmtId="3" fontId="12" fillId="0" borderId="8" xfId="1" applyNumberFormat="1" applyFont="1" applyBorder="1" applyAlignment="1" applyProtection="1">
      <alignment horizontal="center" vertical="center"/>
      <protection locked="0"/>
    </xf>
    <xf numFmtId="0" fontId="12" fillId="0" borderId="7" xfId="1" applyFont="1" applyBorder="1" applyAlignment="1" applyProtection="1">
      <alignment horizontal="center" vertical="center"/>
      <protection locked="0"/>
    </xf>
    <xf numFmtId="3" fontId="12" fillId="0" borderId="7" xfId="1" applyNumberFormat="1" applyFont="1" applyBorder="1" applyAlignment="1" applyProtection="1">
      <alignment horizontal="center" vertical="center"/>
      <protection locked="0"/>
    </xf>
    <xf numFmtId="0" fontId="12" fillId="0" borderId="24" xfId="1" applyFont="1" applyBorder="1" applyAlignment="1" applyProtection="1">
      <alignment horizontal="center" vertical="center"/>
      <protection locked="0"/>
    </xf>
    <xf numFmtId="3" fontId="12" fillId="0" borderId="24" xfId="1" applyNumberFormat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Continuous" vertical="center"/>
    </xf>
    <xf numFmtId="0" fontId="1" fillId="0" borderId="0" xfId="1" applyBorder="1" applyAlignment="1" applyProtection="1">
      <alignment vertical="center"/>
    </xf>
    <xf numFmtId="0" fontId="1" fillId="0" borderId="0" xfId="1" applyAlignment="1" applyProtection="1">
      <alignment horizontal="center" vertical="center"/>
    </xf>
    <xf numFmtId="0" fontId="2" fillId="0" borderId="5" xfId="1" quotePrefix="1" applyFont="1" applyBorder="1" applyAlignment="1" applyProtection="1">
      <alignment horizontal="left" vertical="center"/>
      <protection locked="0"/>
    </xf>
    <xf numFmtId="0" fontId="2" fillId="0" borderId="5" xfId="1" applyFont="1" applyBorder="1" applyAlignment="1" applyProtection="1">
      <alignment vertical="center"/>
      <protection locked="0"/>
    </xf>
    <xf numFmtId="0" fontId="2" fillId="0" borderId="0" xfId="2" quotePrefix="1" applyFont="1" applyBorder="1" applyAlignment="1" applyProtection="1">
      <alignment horizontal="left" vertical="center"/>
      <protection locked="0"/>
    </xf>
    <xf numFmtId="0" fontId="2" fillId="0" borderId="0" xfId="2" applyFont="1" applyBorder="1" applyAlignment="1" applyProtection="1">
      <alignment horizontal="left" vertical="center"/>
      <protection locked="0"/>
    </xf>
    <xf numFmtId="0" fontId="12" fillId="0" borderId="0" xfId="2" applyFont="1" applyFill="1" applyBorder="1" applyAlignment="1" applyProtection="1">
      <alignment horizontal="left" vertical="center"/>
      <protection locked="0"/>
    </xf>
    <xf numFmtId="0" fontId="3" fillId="0" borderId="2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3" fillId="0" borderId="25" xfId="1" quotePrefix="1" applyFont="1" applyBorder="1" applyAlignment="1" applyProtection="1">
      <alignment vertical="center"/>
    </xf>
    <xf numFmtId="0" fontId="3" fillId="0" borderId="26" xfId="1" quotePrefix="1" applyFont="1" applyBorder="1" applyAlignment="1" applyProtection="1">
      <alignment vertical="center"/>
    </xf>
    <xf numFmtId="0" fontId="3" fillId="0" borderId="0" xfId="1" quotePrefix="1" applyFont="1" applyBorder="1" applyAlignment="1" applyProtection="1">
      <alignment horizontal="center" vertical="center"/>
    </xf>
    <xf numFmtId="2" fontId="3" fillId="0" borderId="0" xfId="1" applyNumberFormat="1" applyFont="1" applyBorder="1" applyAlignment="1" applyProtection="1">
      <alignment horizontal="center" vertical="center"/>
    </xf>
    <xf numFmtId="0" fontId="2" fillId="0" borderId="0" xfId="2" quotePrefix="1" applyFont="1" applyBorder="1" applyAlignment="1" applyProtection="1">
      <alignment horizontal="left" vertical="center"/>
    </xf>
    <xf numFmtId="0" fontId="2" fillId="0" borderId="0" xfId="2" applyFont="1" applyBorder="1" applyAlignment="1" applyProtection="1">
      <alignment horizontal="left" vertical="center"/>
    </xf>
    <xf numFmtId="0" fontId="2" fillId="0" borderId="2" xfId="1" applyFont="1" applyBorder="1" applyAlignment="1" applyProtection="1">
      <alignment vertical="center"/>
    </xf>
    <xf numFmtId="0" fontId="2" fillId="0" borderId="0" xfId="2" applyFont="1" applyFill="1" applyBorder="1" applyAlignment="1" applyProtection="1">
      <alignment horizontal="left" vertical="center"/>
    </xf>
    <xf numFmtId="0" fontId="2" fillId="0" borderId="13" xfId="1" applyFont="1" applyBorder="1" applyAlignment="1" applyProtection="1">
      <alignment vertical="center"/>
    </xf>
    <xf numFmtId="0" fontId="2" fillId="0" borderId="4" xfId="1" applyFont="1" applyBorder="1" applyAlignment="1" applyProtection="1">
      <alignment vertical="center"/>
    </xf>
    <xf numFmtId="0" fontId="2" fillId="0" borderId="5" xfId="1" quotePrefix="1" applyFont="1" applyBorder="1" applyAlignment="1" applyProtection="1">
      <alignment horizontal="left" vertical="center"/>
    </xf>
    <xf numFmtId="0" fontId="2" fillId="0" borderId="5" xfId="1" applyFont="1" applyBorder="1" applyAlignment="1" applyProtection="1">
      <alignment horizontal="center" vertical="center"/>
    </xf>
    <xf numFmtId="4" fontId="2" fillId="2" borderId="8" xfId="1" applyNumberFormat="1" applyFont="1" applyFill="1" applyBorder="1" applyAlignment="1" applyProtection="1">
      <alignment horizontal="center" vertical="center"/>
    </xf>
    <xf numFmtId="2" fontId="2" fillId="2" borderId="8" xfId="1" applyNumberFormat="1" applyFont="1" applyFill="1" applyBorder="1" applyAlignment="1" applyProtection="1">
      <alignment horizontal="center" vertical="center"/>
    </xf>
    <xf numFmtId="2" fontId="2" fillId="2" borderId="7" xfId="1" applyNumberFormat="1" applyFont="1" applyFill="1" applyBorder="1" applyAlignment="1" applyProtection="1">
      <alignment horizontal="center" vertical="center"/>
    </xf>
    <xf numFmtId="2" fontId="2" fillId="2" borderId="24" xfId="1" applyNumberFormat="1" applyFont="1" applyFill="1" applyBorder="1" applyAlignment="1" applyProtection="1">
      <alignment horizontal="center" vertical="center"/>
    </xf>
    <xf numFmtId="0" fontId="4" fillId="2" borderId="20" xfId="1" applyFont="1" applyFill="1" applyBorder="1" applyAlignment="1" applyProtection="1">
      <alignment horizontal="center" vertical="center"/>
    </xf>
    <xf numFmtId="0" fontId="4" fillId="2" borderId="22" xfId="1" applyFont="1" applyFill="1" applyBorder="1" applyAlignment="1" applyProtection="1">
      <alignment horizontal="center" vertical="center"/>
    </xf>
    <xf numFmtId="2" fontId="3" fillId="0" borderId="25" xfId="1" applyNumberFormat="1" applyFont="1" applyBorder="1" applyAlignment="1" applyProtection="1">
      <alignment horizontal="center" vertical="center"/>
    </xf>
    <xf numFmtId="2" fontId="3" fillId="0" borderId="27" xfId="1" applyNumberFormat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  <xf numFmtId="4" fontId="2" fillId="0" borderId="25" xfId="1" applyNumberFormat="1" applyFont="1" applyBorder="1" applyAlignment="1" applyProtection="1">
      <alignment horizontal="center" vertical="center"/>
    </xf>
    <xf numFmtId="4" fontId="2" fillId="0" borderId="27" xfId="1" applyNumberFormat="1" applyFont="1" applyBorder="1" applyAlignment="1" applyProtection="1">
      <alignment horizontal="center" vertical="center"/>
    </xf>
    <xf numFmtId="4" fontId="2" fillId="0" borderId="17" xfId="1" applyNumberFormat="1" applyFont="1" applyBorder="1" applyAlignment="1" applyProtection="1">
      <alignment horizontal="center" vertical="center"/>
    </xf>
    <xf numFmtId="4" fontId="2" fillId="0" borderId="18" xfId="1" applyNumberFormat="1" applyFont="1" applyBorder="1" applyAlignment="1" applyProtection="1">
      <alignment horizontal="center" vertical="center"/>
    </xf>
    <xf numFmtId="2" fontId="2" fillId="0" borderId="20" xfId="1" applyNumberFormat="1" applyFont="1" applyBorder="1" applyAlignment="1" applyProtection="1">
      <alignment horizontal="center" vertical="center"/>
    </xf>
    <xf numFmtId="2" fontId="2" fillId="0" borderId="22" xfId="1" applyNumberFormat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/>
    </xf>
    <xf numFmtId="0" fontId="3" fillId="0" borderId="14" xfId="1" applyFont="1" applyBorder="1" applyAlignment="1" applyProtection="1">
      <alignment horizontal="center" vertical="center"/>
    </xf>
    <xf numFmtId="0" fontId="3" fillId="0" borderId="15" xfId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</xf>
    <xf numFmtId="0" fontId="3" fillId="0" borderId="25" xfId="1" applyFont="1" applyBorder="1" applyAlignment="1" applyProtection="1">
      <alignment horizontal="center" vertical="center"/>
    </xf>
    <xf numFmtId="0" fontId="3" fillId="0" borderId="26" xfId="1" applyFont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horizontal="center" vertical="center"/>
    </xf>
    <xf numFmtId="0" fontId="11" fillId="0" borderId="9" xfId="1" applyFont="1" applyBorder="1" applyAlignment="1" applyProtection="1">
      <alignment horizontal="center" vertical="center"/>
    </xf>
    <xf numFmtId="0" fontId="11" fillId="0" borderId="12" xfId="1" applyFont="1" applyBorder="1" applyAlignment="1" applyProtection="1">
      <alignment horizontal="center" vertical="center"/>
    </xf>
    <xf numFmtId="0" fontId="3" fillId="0" borderId="20" xfId="1" quotePrefix="1" applyFont="1" applyBorder="1" applyAlignment="1" applyProtection="1">
      <alignment horizontal="center" vertical="center"/>
    </xf>
    <xf numFmtId="0" fontId="3" fillId="0" borderId="22" xfId="1" quotePrefix="1" applyFont="1" applyBorder="1" applyAlignment="1" applyProtection="1">
      <alignment horizontal="center" vertical="center"/>
    </xf>
    <xf numFmtId="0" fontId="2" fillId="0" borderId="25" xfId="1" applyFont="1" applyBorder="1" applyAlignment="1" applyProtection="1">
      <alignment horizontal="center" vertical="center"/>
    </xf>
    <xf numFmtId="0" fontId="2" fillId="0" borderId="27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28" xfId="1" quotePrefix="1" applyFont="1" applyBorder="1" applyAlignment="1" applyProtection="1">
      <alignment horizontal="center" vertical="center"/>
    </xf>
    <xf numFmtId="0" fontId="2" fillId="0" borderId="31" xfId="1" quotePrefix="1" applyFont="1" applyBorder="1" applyAlignment="1" applyProtection="1">
      <alignment horizontal="center" vertical="center"/>
    </xf>
    <xf numFmtId="0" fontId="2" fillId="0" borderId="29" xfId="1" quotePrefix="1" applyFont="1" applyBorder="1" applyAlignment="1" applyProtection="1">
      <alignment horizontal="center" vertical="center"/>
    </xf>
    <xf numFmtId="0" fontId="2" fillId="0" borderId="32" xfId="1" quotePrefix="1" applyFont="1" applyBorder="1" applyAlignment="1" applyProtection="1">
      <alignment horizontal="center" vertical="center"/>
    </xf>
    <xf numFmtId="0" fontId="2" fillId="0" borderId="30" xfId="1" quotePrefix="1" applyFont="1" applyBorder="1" applyAlignment="1" applyProtection="1">
      <alignment horizontal="center" vertical="center"/>
    </xf>
    <xf numFmtId="0" fontId="2" fillId="0" borderId="33" xfId="1" quotePrefix="1" applyFont="1" applyBorder="1" applyAlignment="1" applyProtection="1">
      <alignment horizontal="center" vertical="center"/>
    </xf>
    <xf numFmtId="0" fontId="2" fillId="0" borderId="28" xfId="1" quotePrefix="1" applyFont="1" applyBorder="1" applyAlignment="1" applyProtection="1">
      <alignment horizontal="center" vertical="center" wrapText="1"/>
    </xf>
    <xf numFmtId="0" fontId="2" fillId="0" borderId="31" xfId="1" quotePrefix="1" applyFont="1" applyBorder="1" applyAlignment="1" applyProtection="1">
      <alignment horizontal="center" vertical="center" wrapText="1"/>
    </xf>
    <xf numFmtId="0" fontId="2" fillId="0" borderId="29" xfId="1" quotePrefix="1" applyFont="1" applyBorder="1" applyAlignment="1" applyProtection="1">
      <alignment horizontal="center" vertical="center" wrapText="1"/>
    </xf>
    <xf numFmtId="0" fontId="2" fillId="0" borderId="32" xfId="1" quotePrefix="1" applyFont="1" applyBorder="1" applyAlignment="1" applyProtection="1">
      <alignment horizontal="center" vertical="center" wrapText="1"/>
    </xf>
    <xf numFmtId="0" fontId="2" fillId="0" borderId="30" xfId="1" quotePrefix="1" applyFont="1" applyBorder="1" applyAlignment="1" applyProtection="1">
      <alignment horizontal="center" vertical="center" wrapText="1"/>
    </xf>
    <xf numFmtId="0" fontId="2" fillId="0" borderId="33" xfId="1" quotePrefix="1" applyFont="1" applyBorder="1" applyAlignment="1" applyProtection="1">
      <alignment horizontal="center" vertical="center" wrapText="1"/>
    </xf>
    <xf numFmtId="0" fontId="12" fillId="0" borderId="25" xfId="1" applyFont="1" applyBorder="1" applyAlignment="1" applyProtection="1">
      <alignment horizontal="center" vertical="center"/>
      <protection locked="0"/>
    </xf>
    <xf numFmtId="0" fontId="12" fillId="0" borderId="27" xfId="1" applyFont="1" applyBorder="1" applyAlignment="1" applyProtection="1">
      <alignment horizontal="center" vertical="center"/>
      <protection locked="0"/>
    </xf>
    <xf numFmtId="0" fontId="12" fillId="0" borderId="17" xfId="1" applyFont="1" applyBorder="1" applyAlignment="1" applyProtection="1">
      <alignment horizontal="center" vertical="center"/>
      <protection locked="0"/>
    </xf>
    <xf numFmtId="0" fontId="12" fillId="0" borderId="18" xfId="1" applyFont="1" applyBorder="1" applyAlignment="1" applyProtection="1">
      <alignment horizontal="center" vertical="center"/>
      <protection locked="0"/>
    </xf>
    <xf numFmtId="0" fontId="12" fillId="0" borderId="20" xfId="1" applyFont="1" applyBorder="1" applyAlignment="1" applyProtection="1">
      <alignment horizontal="center" vertical="center"/>
      <protection locked="0"/>
    </xf>
    <xf numFmtId="0" fontId="12" fillId="0" borderId="22" xfId="1" applyFont="1" applyBorder="1" applyAlignment="1" applyProtection="1">
      <alignment horizontal="center" vertical="center"/>
      <protection locked="0"/>
    </xf>
    <xf numFmtId="4" fontId="2" fillId="2" borderId="25" xfId="1" applyNumberFormat="1" applyFont="1" applyFill="1" applyBorder="1" applyAlignment="1" applyProtection="1">
      <alignment horizontal="center" vertical="center"/>
    </xf>
    <xf numFmtId="4" fontId="2" fillId="2" borderId="27" xfId="1" applyNumberFormat="1" applyFont="1" applyFill="1" applyBorder="1" applyAlignment="1" applyProtection="1">
      <alignment horizontal="center" vertical="center"/>
    </xf>
    <xf numFmtId="4" fontId="2" fillId="2" borderId="17" xfId="1" applyNumberFormat="1" applyFont="1" applyFill="1" applyBorder="1" applyAlignment="1" applyProtection="1">
      <alignment horizontal="center" vertical="center"/>
    </xf>
    <xf numFmtId="4" fontId="2" fillId="2" borderId="18" xfId="1" applyNumberFormat="1" applyFont="1" applyFill="1" applyBorder="1" applyAlignment="1" applyProtection="1">
      <alignment horizontal="center" vertical="center"/>
    </xf>
    <xf numFmtId="2" fontId="2" fillId="2" borderId="20" xfId="1" applyNumberFormat="1" applyFont="1" applyFill="1" applyBorder="1" applyAlignment="1" applyProtection="1">
      <alignment horizontal="center" vertical="center"/>
    </xf>
    <xf numFmtId="2" fontId="2" fillId="2" borderId="22" xfId="1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_fhc-kvb5" xfId="1"/>
    <cellStyle name="Normal_Flare Calc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OIL&amp;GAS/REEVAL/7894E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wp\Reeval\J.%20P.%20Oil\R7317-R6%20J%20P%20O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wp\Reeval\Conway\Union%20Sugar\R7750-05%20Union%20Sug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CD\DATA2\GROUP\ENGR\LIBRARY\SOFTWARE\DRAFT\TANK-2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WINDOWS\DESKTOP\John's%20Stuff\Emission%20Calculations\Boiler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Excel\Software\Pigging%20Emis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>
        <row r="11">
          <cell r="C11">
            <v>1.905</v>
          </cell>
        </row>
        <row r="12">
          <cell r="F12">
            <v>0.16900000000000001</v>
          </cell>
        </row>
        <row r="20">
          <cell r="C20">
            <v>0</v>
          </cell>
          <cell r="D20">
            <v>0</v>
          </cell>
          <cell r="E20">
            <v>0</v>
          </cell>
          <cell r="G20">
            <v>9.4499999999999993</v>
          </cell>
        </row>
        <row r="21">
          <cell r="F21">
            <v>0.16900000000000001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IDS Tables"/>
      <sheetName val="Fees"/>
      <sheetName val="500 bbl oil tank"/>
      <sheetName val="1000 bbl oil tank"/>
      <sheetName val="5000 bbl oil tank"/>
      <sheetName val="5000 bbl wash tank"/>
      <sheetName val="Loading Rack"/>
      <sheetName val="KVB FHC"/>
      <sheetName val="IC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65">
          <cell r="F65">
            <v>44.498018699999989</v>
          </cell>
          <cell r="H65">
            <v>6.6805424400000009</v>
          </cell>
          <cell r="J65">
            <v>9.5770013999999986</v>
          </cell>
          <cell r="L65">
            <v>3.947593260000001</v>
          </cell>
          <cell r="N65">
            <v>0.21022686000000004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 NEI"/>
      <sheetName val="IDS Tables"/>
      <sheetName val="Fees"/>
      <sheetName val="Wash Tank"/>
      <sheetName val="1000 bbl tank"/>
      <sheetName val="302 bbl tank"/>
      <sheetName val="Test Tank"/>
      <sheetName val="Loading Rack"/>
      <sheetName val="Flare"/>
      <sheetName val="Heater"/>
      <sheetName val="FHC CALC KVB"/>
      <sheetName val="CMPFUG"/>
      <sheetName val="ICEs Eq. Descr."/>
      <sheetName val="ICEs Emissions"/>
      <sheetName val="ICEs EF"/>
    </sheetNames>
    <sheetDataSet>
      <sheetData sheetId="0"/>
      <sheetData sheetId="1"/>
      <sheetData sheetId="2" refreshError="1"/>
      <sheetData sheetId="3" refreshError="1"/>
      <sheetData sheetId="4"/>
      <sheetData sheetId="5">
        <row r="64">
          <cell r="G64">
            <v>0.15944874144804527</v>
          </cell>
          <cell r="H64">
            <v>2.9099395314268261E-2</v>
          </cell>
        </row>
      </sheetData>
      <sheetData sheetId="6">
        <row r="64">
          <cell r="G64">
            <v>8.5109197199504966E-2</v>
          </cell>
          <cell r="H64">
            <v>1.5532428488909658E-2</v>
          </cell>
        </row>
      </sheetData>
      <sheetData sheetId="7">
        <row r="64">
          <cell r="G64">
            <v>0.29639741594950514</v>
          </cell>
          <cell r="H64">
            <v>5.4092528410784692E-2</v>
          </cell>
        </row>
      </sheetData>
      <sheetData sheetId="8"/>
      <sheetData sheetId="9"/>
      <sheetData sheetId="10"/>
      <sheetData sheetId="11">
        <row r="59">
          <cell r="D59">
            <v>20.171273579999998</v>
          </cell>
          <cell r="E59">
            <v>3.6812574283499995</v>
          </cell>
        </row>
      </sheetData>
      <sheetData sheetId="12">
        <row r="27">
          <cell r="I27">
            <v>0.77634639999999977</v>
          </cell>
          <cell r="J27">
            <v>0.14168321799999997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B"/>
    </sheetNames>
    <definedNames>
      <definedName name="Module2.printsheet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iler6"/>
    </sheetNames>
    <definedNames>
      <definedName name="print01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Values"/>
      <sheetName val="Sheet3"/>
    </sheetNames>
    <sheetDataSet>
      <sheetData sheetId="0" refreshError="1"/>
      <sheetData sheetId="1">
        <row r="3">
          <cell r="B3">
            <v>0.25</v>
          </cell>
        </row>
        <row r="5">
          <cell r="B5">
            <v>0.16666666666666666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9"/>
  <sheetViews>
    <sheetView showGridLines="0" tabSelected="1" zoomScale="80" zoomScaleNormal="80" workbookViewId="0">
      <selection activeCell="D5" sqref="D5"/>
    </sheetView>
  </sheetViews>
  <sheetFormatPr defaultColWidth="9.140625" defaultRowHeight="12.75" x14ac:dyDescent="0.25"/>
  <cols>
    <col min="1" max="2" width="3.5703125" style="18" customWidth="1"/>
    <col min="3" max="4" width="16.85546875" style="18" customWidth="1"/>
    <col min="5" max="5" width="20" style="18" customWidth="1"/>
    <col min="6" max="6" width="17.42578125" style="18" customWidth="1"/>
    <col min="7" max="7" width="19.28515625" style="18" customWidth="1"/>
    <col min="8" max="8" width="7.7109375" style="18" customWidth="1"/>
    <col min="9" max="9" width="16.140625" style="18" customWidth="1"/>
    <col min="10" max="10" width="18.7109375" style="18" customWidth="1"/>
    <col min="11" max="12" width="3.5703125" style="18" customWidth="1"/>
    <col min="13" max="16384" width="9.140625" style="18"/>
  </cols>
  <sheetData>
    <row r="1" spans="2:12" ht="13.5" thickBot="1" x14ac:dyDescent="0.3"/>
    <row r="2" spans="2:12" ht="22.5" customHeight="1" thickBot="1" x14ac:dyDescent="0.3">
      <c r="B2" s="126" t="s">
        <v>84</v>
      </c>
      <c r="C2" s="127"/>
      <c r="D2" s="127"/>
      <c r="E2" s="127"/>
      <c r="F2" s="127"/>
      <c r="G2" s="127"/>
      <c r="H2" s="127"/>
      <c r="I2" s="127"/>
      <c r="J2" s="127"/>
      <c r="K2" s="128"/>
    </row>
    <row r="3" spans="2:12" ht="15" customHeight="1" x14ac:dyDescent="0.25">
      <c r="B3" s="129" t="s">
        <v>0</v>
      </c>
      <c r="C3" s="130"/>
      <c r="D3" s="130"/>
      <c r="E3" s="130"/>
      <c r="F3" s="130"/>
      <c r="G3" s="130"/>
      <c r="H3" s="130"/>
      <c r="I3" s="130"/>
      <c r="J3" s="130"/>
      <c r="K3" s="131"/>
    </row>
    <row r="4" spans="2:12" ht="15" customHeight="1" x14ac:dyDescent="0.25">
      <c r="B4" s="95"/>
      <c r="C4" s="96"/>
      <c r="D4" s="96"/>
      <c r="E4" s="96"/>
      <c r="F4" s="96"/>
      <c r="G4" s="96"/>
      <c r="H4" s="96"/>
      <c r="I4" s="96"/>
      <c r="J4" s="96"/>
      <c r="K4" s="97"/>
    </row>
    <row r="5" spans="2:12" ht="15" customHeight="1" x14ac:dyDescent="0.25">
      <c r="B5" s="95"/>
      <c r="C5" s="102" t="s">
        <v>82</v>
      </c>
      <c r="D5" s="92"/>
      <c r="E5" s="96"/>
      <c r="F5" s="96"/>
      <c r="G5" s="96"/>
      <c r="H5" s="96"/>
      <c r="I5" s="96"/>
      <c r="J5" s="96"/>
      <c r="K5" s="97"/>
    </row>
    <row r="6" spans="2:12" ht="15" customHeight="1" x14ac:dyDescent="0.25">
      <c r="B6" s="95"/>
      <c r="C6" s="103" t="s">
        <v>33</v>
      </c>
      <c r="D6" s="93"/>
      <c r="E6" s="96"/>
      <c r="F6" s="96"/>
      <c r="G6" s="96"/>
      <c r="H6" s="96"/>
      <c r="I6" s="96"/>
      <c r="J6" s="96"/>
      <c r="K6" s="97"/>
    </row>
    <row r="7" spans="2:12" ht="15" customHeight="1" x14ac:dyDescent="0.25">
      <c r="B7" s="95"/>
      <c r="C7" s="103" t="s">
        <v>34</v>
      </c>
      <c r="D7" s="93"/>
      <c r="E7" s="96"/>
      <c r="F7" s="96"/>
      <c r="G7" s="96"/>
      <c r="H7" s="96"/>
      <c r="I7" s="96"/>
      <c r="J7" s="96"/>
      <c r="K7" s="97"/>
    </row>
    <row r="8" spans="2:12" ht="15" customHeight="1" thickBot="1" x14ac:dyDescent="0.3">
      <c r="B8" s="14"/>
      <c r="C8" s="15"/>
      <c r="D8" s="15"/>
      <c r="E8" s="15"/>
      <c r="F8" s="15"/>
      <c r="G8" s="15"/>
      <c r="H8" s="15"/>
      <c r="I8" s="15"/>
      <c r="J8" s="15"/>
      <c r="K8" s="16"/>
    </row>
    <row r="9" spans="2:12" ht="15" customHeight="1" x14ac:dyDescent="0.25">
      <c r="B9" s="17"/>
      <c r="K9" s="19"/>
      <c r="L9" s="87"/>
    </row>
    <row r="10" spans="2:12" ht="15" customHeight="1" x14ac:dyDescent="0.25">
      <c r="B10" s="104"/>
      <c r="C10" s="20" t="s">
        <v>35</v>
      </c>
      <c r="D10" s="20"/>
      <c r="E10" s="21"/>
      <c r="F10" s="1"/>
      <c r="G10" s="2"/>
      <c r="H10" s="2"/>
      <c r="I10" s="2"/>
      <c r="J10" s="1"/>
      <c r="K10" s="22"/>
    </row>
    <row r="11" spans="2:12" ht="15" customHeight="1" x14ac:dyDescent="0.25">
      <c r="B11" s="104"/>
      <c r="C11" s="1"/>
      <c r="D11" s="1"/>
      <c r="E11" s="1"/>
      <c r="F11" s="1"/>
      <c r="G11" s="2"/>
      <c r="H11" s="2"/>
      <c r="I11" s="2"/>
      <c r="J11" s="1"/>
      <c r="K11" s="22"/>
    </row>
    <row r="12" spans="2:12" ht="15" customHeight="1" x14ac:dyDescent="0.25">
      <c r="B12" s="104"/>
      <c r="C12" s="12" t="s">
        <v>36</v>
      </c>
      <c r="D12" s="12"/>
      <c r="E12" s="4"/>
      <c r="F12" s="4"/>
      <c r="G12" s="12" t="s">
        <v>2</v>
      </c>
      <c r="H12" s="12" t="s">
        <v>3</v>
      </c>
      <c r="J12" s="23" t="s">
        <v>50</v>
      </c>
      <c r="K12" s="24"/>
    </row>
    <row r="13" spans="2:12" ht="15" customHeight="1" x14ac:dyDescent="0.25">
      <c r="B13" s="104"/>
      <c r="C13" s="3" t="s">
        <v>85</v>
      </c>
      <c r="D13" s="3"/>
      <c r="E13" s="4"/>
      <c r="F13" s="4"/>
      <c r="G13" s="13">
        <v>0</v>
      </c>
      <c r="H13" s="4" t="s">
        <v>4</v>
      </c>
      <c r="J13" s="94" t="s">
        <v>51</v>
      </c>
      <c r="K13" s="22"/>
    </row>
    <row r="14" spans="2:12" ht="15" customHeight="1" x14ac:dyDescent="0.25">
      <c r="B14" s="104"/>
      <c r="C14" s="4" t="s">
        <v>86</v>
      </c>
      <c r="D14" s="4"/>
      <c r="E14" s="4"/>
      <c r="F14" s="4"/>
      <c r="G14" s="13">
        <v>500000</v>
      </c>
      <c r="H14" s="4" t="s">
        <v>5</v>
      </c>
      <c r="J14" s="94" t="s">
        <v>51</v>
      </c>
      <c r="K14" s="22"/>
    </row>
    <row r="15" spans="2:12" ht="15" customHeight="1" x14ac:dyDescent="0.25">
      <c r="B15" s="104"/>
      <c r="C15" s="4" t="s">
        <v>87</v>
      </c>
      <c r="D15" s="4"/>
      <c r="E15" s="4"/>
      <c r="F15" s="4"/>
      <c r="G15" s="13">
        <v>2500</v>
      </c>
      <c r="H15" s="4" t="s">
        <v>6</v>
      </c>
      <c r="J15" s="94" t="s">
        <v>51</v>
      </c>
      <c r="K15" s="22"/>
    </row>
    <row r="16" spans="2:12" ht="15" customHeight="1" x14ac:dyDescent="0.25">
      <c r="B16" s="104"/>
      <c r="C16" s="3" t="s">
        <v>88</v>
      </c>
      <c r="D16" s="3"/>
      <c r="E16" s="4"/>
      <c r="F16" s="4"/>
      <c r="G16" s="13">
        <f>G14/G15</f>
        <v>200</v>
      </c>
      <c r="H16" s="4" t="s">
        <v>7</v>
      </c>
      <c r="J16" s="94" t="s">
        <v>51</v>
      </c>
      <c r="K16" s="22"/>
    </row>
    <row r="17" spans="2:11" ht="15" customHeight="1" x14ac:dyDescent="0.25">
      <c r="B17" s="104"/>
      <c r="C17" s="4" t="s">
        <v>89</v>
      </c>
      <c r="D17" s="4"/>
      <c r="E17" s="4"/>
      <c r="F17" s="4"/>
      <c r="G17" s="13">
        <v>15</v>
      </c>
      <c r="H17" s="3" t="s">
        <v>8</v>
      </c>
      <c r="J17" s="94" t="s">
        <v>51</v>
      </c>
      <c r="K17" s="22"/>
    </row>
    <row r="18" spans="2:11" ht="15" customHeight="1" x14ac:dyDescent="0.25">
      <c r="B18" s="104"/>
      <c r="C18" s="4" t="s">
        <v>90</v>
      </c>
      <c r="D18" s="4"/>
      <c r="E18" s="4"/>
      <c r="F18" s="4"/>
      <c r="G18" s="13">
        <v>4</v>
      </c>
      <c r="H18" s="4" t="s">
        <v>9</v>
      </c>
      <c r="J18" s="94" t="s">
        <v>53</v>
      </c>
      <c r="K18" s="22"/>
    </row>
    <row r="19" spans="2:11" ht="15" customHeight="1" x14ac:dyDescent="0.25">
      <c r="B19" s="104"/>
      <c r="C19" s="3" t="s">
        <v>91</v>
      </c>
      <c r="D19" s="3"/>
      <c r="E19" s="4"/>
      <c r="F19" s="4"/>
      <c r="G19" s="13">
        <v>0</v>
      </c>
      <c r="H19" s="4" t="s">
        <v>4</v>
      </c>
      <c r="J19" s="94" t="s">
        <v>51</v>
      </c>
      <c r="K19" s="22"/>
    </row>
    <row r="20" spans="2:11" ht="15" customHeight="1" x14ac:dyDescent="0.25">
      <c r="B20" s="104"/>
      <c r="C20" s="4" t="s">
        <v>92</v>
      </c>
      <c r="D20" s="4"/>
      <c r="E20" s="4"/>
      <c r="F20" s="4"/>
      <c r="G20" s="13">
        <v>0</v>
      </c>
      <c r="H20" s="4" t="s">
        <v>4</v>
      </c>
      <c r="J20" s="94" t="s">
        <v>51</v>
      </c>
      <c r="K20" s="22"/>
    </row>
    <row r="21" spans="2:11" ht="15" customHeight="1" x14ac:dyDescent="0.25">
      <c r="B21" s="104"/>
      <c r="C21" s="3" t="s">
        <v>93</v>
      </c>
      <c r="D21" s="3"/>
      <c r="E21" s="4"/>
      <c r="F21" s="4"/>
      <c r="G21" s="13">
        <v>0</v>
      </c>
      <c r="H21" s="4" t="s">
        <v>4</v>
      </c>
      <c r="J21" s="94" t="s">
        <v>51</v>
      </c>
      <c r="K21" s="22"/>
    </row>
    <row r="22" spans="2:11" ht="15" customHeight="1" x14ac:dyDescent="0.25">
      <c r="B22" s="104"/>
      <c r="C22" s="4" t="s">
        <v>94</v>
      </c>
      <c r="D22" s="4"/>
      <c r="E22" s="4"/>
      <c r="F22" s="4"/>
      <c r="G22" s="13">
        <v>0</v>
      </c>
      <c r="H22" s="4" t="s">
        <v>4</v>
      </c>
      <c r="J22" s="94" t="s">
        <v>51</v>
      </c>
      <c r="K22" s="22"/>
    </row>
    <row r="23" spans="2:11" ht="15" customHeight="1" x14ac:dyDescent="0.25">
      <c r="B23" s="104"/>
      <c r="C23" s="4" t="s">
        <v>95</v>
      </c>
      <c r="D23" s="4"/>
      <c r="E23" s="4"/>
      <c r="F23" s="4"/>
      <c r="G23" s="7">
        <f>INDEX(F29:F34,G18,1)</f>
        <v>6.6408871000000005</v>
      </c>
      <c r="H23" s="4" t="s">
        <v>10</v>
      </c>
      <c r="J23" s="105" t="s">
        <v>52</v>
      </c>
      <c r="K23" s="22"/>
    </row>
    <row r="24" spans="2:11" ht="15" customHeight="1" thickBot="1" x14ac:dyDescent="0.3">
      <c r="B24" s="104"/>
      <c r="C24" s="4"/>
      <c r="D24" s="4"/>
      <c r="E24" s="4"/>
      <c r="F24" s="4"/>
      <c r="G24" s="7"/>
      <c r="H24" s="7"/>
      <c r="I24" s="4"/>
      <c r="J24" s="25"/>
      <c r="K24" s="22"/>
    </row>
    <row r="25" spans="2:11" ht="15" customHeight="1" x14ac:dyDescent="0.25">
      <c r="B25" s="106"/>
      <c r="C25" s="10"/>
      <c r="D25" s="10"/>
      <c r="E25" s="10"/>
      <c r="F25" s="10"/>
      <c r="G25" s="11"/>
      <c r="H25" s="11"/>
      <c r="I25" s="10"/>
      <c r="J25" s="26"/>
      <c r="K25" s="27"/>
    </row>
    <row r="26" spans="2:11" ht="15" customHeight="1" x14ac:dyDescent="0.25">
      <c r="B26" s="104"/>
      <c r="C26" s="28" t="s">
        <v>37</v>
      </c>
      <c r="D26" s="28"/>
      <c r="E26" s="4"/>
      <c r="F26" s="4"/>
      <c r="G26" s="7"/>
      <c r="H26" s="7"/>
      <c r="I26" s="4"/>
      <c r="J26" s="25"/>
      <c r="K26" s="22"/>
    </row>
    <row r="27" spans="2:11" ht="15" customHeight="1" x14ac:dyDescent="0.25">
      <c r="B27" s="104"/>
      <c r="E27" s="1"/>
      <c r="F27" s="1"/>
      <c r="G27" s="1"/>
      <c r="H27" s="1"/>
      <c r="I27" s="1"/>
      <c r="J27" s="1"/>
      <c r="K27" s="22"/>
    </row>
    <row r="28" spans="2:11" ht="30" customHeight="1" thickBot="1" x14ac:dyDescent="0.3">
      <c r="B28" s="104"/>
      <c r="C28" s="8" t="s">
        <v>11</v>
      </c>
      <c r="D28" s="9" t="s">
        <v>38</v>
      </c>
      <c r="E28" s="9" t="s">
        <v>39</v>
      </c>
      <c r="F28" s="9" t="s">
        <v>40</v>
      </c>
      <c r="G28" s="8" t="s">
        <v>3</v>
      </c>
      <c r="H28" s="96"/>
      <c r="I28" s="1"/>
      <c r="J28" s="1"/>
      <c r="K28" s="19"/>
    </row>
    <row r="29" spans="2:11" ht="15" customHeight="1" thickTop="1" x14ac:dyDescent="0.25">
      <c r="B29" s="104"/>
      <c r="C29" s="29">
        <v>1</v>
      </c>
      <c r="D29" s="30">
        <f>(14171.7+0.982+748.355)*10^-4</f>
        <v>1.4921037000000001</v>
      </c>
      <c r="E29" s="30">
        <f>(8483.62+323.495+1139.75)*10^-4</f>
        <v>0.99468650000000025</v>
      </c>
      <c r="F29" s="30">
        <f t="shared" ref="F29:F34" si="0">D29+E29</f>
        <v>2.4867902000000006</v>
      </c>
      <c r="G29" s="29" t="s">
        <v>12</v>
      </c>
      <c r="H29" s="25"/>
      <c r="J29" s="1"/>
      <c r="K29" s="19"/>
    </row>
    <row r="30" spans="2:11" ht="15" customHeight="1" x14ac:dyDescent="0.25">
      <c r="B30" s="104"/>
      <c r="C30" s="31">
        <v>2</v>
      </c>
      <c r="D30" s="32">
        <f>(6807.46+0.971+190.993)*10^-4</f>
        <v>0.69994240000000008</v>
      </c>
      <c r="E30" s="32">
        <f>(5788.96+302.83)*10^-4</f>
        <v>0.60917900000000003</v>
      </c>
      <c r="F30" s="32">
        <f t="shared" si="0"/>
        <v>1.3091214</v>
      </c>
      <c r="G30" s="31" t="s">
        <v>12</v>
      </c>
      <c r="H30" s="25"/>
      <c r="J30" s="1"/>
      <c r="K30" s="19"/>
    </row>
    <row r="31" spans="2:11" ht="15" customHeight="1" x14ac:dyDescent="0.25">
      <c r="B31" s="104"/>
      <c r="C31" s="31">
        <v>3</v>
      </c>
      <c r="D31" s="32">
        <f>(62.177+0.26+154.327)*10^-4</f>
        <v>2.1676400000000002E-2</v>
      </c>
      <c r="E31" s="32">
        <f>(166.743+9.719+496.834+0.099)*10^-4</f>
        <v>6.733950000000001E-2</v>
      </c>
      <c r="F31" s="32">
        <f t="shared" si="0"/>
        <v>8.9015900000000009E-2</v>
      </c>
      <c r="G31" s="31" t="s">
        <v>12</v>
      </c>
      <c r="H31" s="25"/>
      <c r="J31" s="1"/>
      <c r="K31" s="19"/>
    </row>
    <row r="32" spans="2:11" ht="15" customHeight="1" x14ac:dyDescent="0.25">
      <c r="B32" s="104"/>
      <c r="C32" s="31">
        <v>4</v>
      </c>
      <c r="D32" s="32">
        <f>(44784.9+1.215+303.513)*10^-4</f>
        <v>4.5089627999999999</v>
      </c>
      <c r="E32" s="32">
        <f>(20399.1+0.001+920.142)*10^-4</f>
        <v>2.1319243000000001</v>
      </c>
      <c r="F32" s="32">
        <f t="shared" si="0"/>
        <v>6.6408871000000005</v>
      </c>
      <c r="G32" s="31" t="s">
        <v>12</v>
      </c>
      <c r="H32" s="25"/>
      <c r="J32" s="1"/>
      <c r="K32" s="19"/>
    </row>
    <row r="33" spans="2:11" ht="15" customHeight="1" x14ac:dyDescent="0.25">
      <c r="B33" s="104"/>
      <c r="C33" s="31">
        <v>5</v>
      </c>
      <c r="D33" s="32">
        <f>(8293.5+0.509+334.359)*10^-4</f>
        <v>0.86283680000000007</v>
      </c>
      <c r="E33" s="32">
        <f>(17547.3+29.052+1847.85)*10^-4</f>
        <v>1.9424201999999999</v>
      </c>
      <c r="F33" s="32">
        <f t="shared" si="0"/>
        <v>2.8052570000000001</v>
      </c>
      <c r="G33" s="31" t="s">
        <v>12</v>
      </c>
      <c r="H33" s="25"/>
      <c r="J33" s="1"/>
      <c r="K33" s="19"/>
    </row>
    <row r="34" spans="2:11" ht="15" customHeight="1" x14ac:dyDescent="0.25">
      <c r="B34" s="104"/>
      <c r="C34" s="31">
        <v>6</v>
      </c>
      <c r="D34" s="32">
        <f>(16839.2+0.084+239.978)*10^-4</f>
        <v>1.7079261999999999</v>
      </c>
      <c r="E34" s="32">
        <f>(24890.2+115.139+0.234)*10^-4</f>
        <v>2.5005573000000001</v>
      </c>
      <c r="F34" s="32">
        <f t="shared" si="0"/>
        <v>4.2084834999999998</v>
      </c>
      <c r="G34" s="31" t="s">
        <v>12</v>
      </c>
      <c r="H34" s="25"/>
      <c r="J34" s="1"/>
      <c r="K34" s="19"/>
    </row>
    <row r="35" spans="2:11" ht="15" customHeight="1" x14ac:dyDescent="0.25">
      <c r="B35" s="104"/>
      <c r="C35" s="1"/>
      <c r="D35" s="1"/>
      <c r="E35" s="1"/>
      <c r="F35" s="1"/>
      <c r="G35" s="1"/>
      <c r="H35" s="1"/>
      <c r="I35" s="1"/>
      <c r="J35" s="1"/>
      <c r="K35" s="22"/>
    </row>
    <row r="36" spans="2:11" ht="15" customHeight="1" x14ac:dyDescent="0.25">
      <c r="B36" s="104"/>
      <c r="C36" s="1" t="s">
        <v>13</v>
      </c>
      <c r="D36" s="1"/>
      <c r="E36" s="1"/>
      <c r="F36" s="1"/>
      <c r="G36" s="1"/>
      <c r="H36" s="1"/>
      <c r="I36" s="1"/>
      <c r="J36" s="1"/>
      <c r="K36" s="22"/>
    </row>
    <row r="37" spans="2:11" ht="15" customHeight="1" x14ac:dyDescent="0.25">
      <c r="B37" s="104"/>
      <c r="C37" s="3" t="s">
        <v>14</v>
      </c>
      <c r="D37" s="3"/>
      <c r="E37" s="1"/>
      <c r="F37" s="1"/>
      <c r="G37" s="1"/>
      <c r="H37" s="1"/>
      <c r="I37" s="1"/>
      <c r="J37" s="1"/>
      <c r="K37" s="22"/>
    </row>
    <row r="38" spans="2:11" ht="15" customHeight="1" x14ac:dyDescent="0.25">
      <c r="B38" s="104"/>
      <c r="C38" s="3" t="s">
        <v>15</v>
      </c>
      <c r="D38" s="3"/>
      <c r="E38" s="1"/>
      <c r="F38" s="1"/>
      <c r="G38" s="1"/>
      <c r="H38" s="1"/>
      <c r="I38" s="1"/>
      <c r="J38" s="1"/>
      <c r="K38" s="22"/>
    </row>
    <row r="39" spans="2:11" ht="15" customHeight="1" x14ac:dyDescent="0.25">
      <c r="B39" s="104"/>
      <c r="C39" s="3" t="s">
        <v>16</v>
      </c>
      <c r="D39" s="3"/>
      <c r="E39" s="1"/>
      <c r="F39" s="1"/>
      <c r="G39" s="1"/>
      <c r="H39" s="1"/>
      <c r="I39" s="1"/>
      <c r="J39" s="1"/>
      <c r="K39" s="22"/>
    </row>
    <row r="40" spans="2:11" ht="15" customHeight="1" x14ac:dyDescent="0.25">
      <c r="B40" s="104"/>
      <c r="C40" s="3" t="s">
        <v>17</v>
      </c>
      <c r="D40" s="3"/>
      <c r="E40" s="1"/>
      <c r="F40" s="1"/>
      <c r="G40" s="1"/>
      <c r="H40" s="1"/>
      <c r="I40" s="1"/>
      <c r="J40" s="1"/>
      <c r="K40" s="22"/>
    </row>
    <row r="41" spans="2:11" ht="15" customHeight="1" x14ac:dyDescent="0.25">
      <c r="B41" s="104"/>
      <c r="C41" s="3" t="s">
        <v>18</v>
      </c>
      <c r="D41" s="3"/>
      <c r="E41" s="1"/>
      <c r="F41" s="1"/>
      <c r="G41" s="1"/>
      <c r="H41" s="1"/>
      <c r="I41" s="1"/>
      <c r="J41" s="1"/>
      <c r="K41" s="22"/>
    </row>
    <row r="42" spans="2:11" ht="15" customHeight="1" x14ac:dyDescent="0.25">
      <c r="B42" s="104"/>
      <c r="C42" s="3"/>
      <c r="D42" s="3"/>
      <c r="E42" s="1"/>
      <c r="F42" s="1"/>
      <c r="G42" s="1"/>
      <c r="H42" s="1"/>
      <c r="I42" s="1"/>
      <c r="J42" s="1"/>
      <c r="K42" s="22"/>
    </row>
    <row r="43" spans="2:11" ht="15" customHeight="1" x14ac:dyDescent="0.25">
      <c r="B43" s="104"/>
      <c r="C43" s="3" t="s">
        <v>77</v>
      </c>
      <c r="D43" s="3"/>
      <c r="E43" s="1"/>
      <c r="F43" s="1"/>
      <c r="G43" s="1"/>
      <c r="H43" s="1"/>
      <c r="I43" s="1"/>
      <c r="J43" s="1"/>
      <c r="K43" s="22"/>
    </row>
    <row r="44" spans="2:11" ht="15" customHeight="1" thickBot="1" x14ac:dyDescent="0.3">
      <c r="B44" s="104"/>
      <c r="C44" s="3"/>
      <c r="D44" s="3"/>
      <c r="E44" s="1"/>
      <c r="F44" s="1"/>
      <c r="G44" s="1"/>
      <c r="H44" s="1"/>
      <c r="I44" s="1"/>
      <c r="J44" s="1"/>
      <c r="K44" s="22"/>
    </row>
    <row r="45" spans="2:11" ht="15" customHeight="1" x14ac:dyDescent="0.25">
      <c r="B45" s="106"/>
      <c r="C45" s="33"/>
      <c r="D45" s="33"/>
      <c r="E45" s="34"/>
      <c r="F45" s="34"/>
      <c r="G45" s="34"/>
      <c r="H45" s="34"/>
      <c r="I45" s="34"/>
      <c r="J45" s="34"/>
      <c r="K45" s="27"/>
    </row>
    <row r="46" spans="2:11" ht="15" customHeight="1" x14ac:dyDescent="0.25">
      <c r="B46" s="104"/>
      <c r="C46" s="20" t="s">
        <v>79</v>
      </c>
      <c r="D46" s="20"/>
      <c r="E46" s="1"/>
      <c r="F46" s="1"/>
      <c r="G46" s="1"/>
      <c r="H46" s="1"/>
      <c r="I46" s="1"/>
      <c r="J46" s="1"/>
      <c r="K46" s="22"/>
    </row>
    <row r="47" spans="2:11" ht="15" customHeight="1" x14ac:dyDescent="0.25">
      <c r="B47" s="104"/>
      <c r="C47" s="35"/>
      <c r="D47" s="35"/>
      <c r="E47" s="36"/>
      <c r="F47" s="36"/>
      <c r="G47" s="36"/>
      <c r="H47" s="36"/>
      <c r="I47" s="36"/>
      <c r="J47" s="36"/>
      <c r="K47" s="22"/>
    </row>
    <row r="48" spans="2:11" ht="15" customHeight="1" thickBot="1" x14ac:dyDescent="0.3">
      <c r="B48" s="104"/>
      <c r="C48" s="37" t="s">
        <v>41</v>
      </c>
      <c r="D48" s="38"/>
      <c r="E48" s="38"/>
      <c r="F48" s="8" t="s">
        <v>80</v>
      </c>
      <c r="G48" s="39" t="s">
        <v>81</v>
      </c>
      <c r="H48" s="100"/>
      <c r="J48" s="1"/>
      <c r="K48" s="40"/>
    </row>
    <row r="49" spans="2:12" ht="15" customHeight="1" thickTop="1" x14ac:dyDescent="0.25">
      <c r="B49" s="104"/>
      <c r="C49" s="41" t="s">
        <v>49</v>
      </c>
      <c r="D49" s="42"/>
      <c r="E49" s="42"/>
      <c r="F49" s="43">
        <f>(G13*G23)*(1-0.8)</f>
        <v>0</v>
      </c>
      <c r="G49" s="43">
        <f>F49*365/2000</f>
        <v>0</v>
      </c>
      <c r="H49" s="79"/>
      <c r="J49" s="1"/>
      <c r="K49" s="44"/>
    </row>
    <row r="50" spans="2:12" ht="15" customHeight="1" x14ac:dyDescent="0.25">
      <c r="B50" s="104"/>
      <c r="C50" s="45" t="s">
        <v>48</v>
      </c>
      <c r="D50" s="46"/>
      <c r="E50" s="46"/>
      <c r="F50" s="47">
        <f>SUM(G90:J90)+SUM(G100:J100)+SUM(G110:J110)</f>
        <v>0</v>
      </c>
      <c r="G50" s="47">
        <f t="shared" ref="G50:G54" si="1">F50*365/2000</f>
        <v>0</v>
      </c>
      <c r="H50" s="79"/>
      <c r="J50" s="1"/>
      <c r="K50" s="44"/>
    </row>
    <row r="51" spans="2:12" ht="15" customHeight="1" x14ac:dyDescent="0.25">
      <c r="B51" s="104"/>
      <c r="C51" s="45" t="s">
        <v>47</v>
      </c>
      <c r="D51" s="46"/>
      <c r="E51" s="46"/>
      <c r="F51" s="47">
        <f>SUM(G120:J120)</f>
        <v>0</v>
      </c>
      <c r="G51" s="47">
        <f t="shared" si="1"/>
        <v>0</v>
      </c>
      <c r="H51" s="79"/>
      <c r="J51" s="1"/>
      <c r="K51" s="44"/>
    </row>
    <row r="52" spans="2:12" ht="15" customHeight="1" x14ac:dyDescent="0.25">
      <c r="B52" s="104"/>
      <c r="C52" s="45" t="s">
        <v>46</v>
      </c>
      <c r="D52" s="46"/>
      <c r="E52" s="46"/>
      <c r="F52" s="47">
        <f>E76*(1-0.8)</f>
        <v>0</v>
      </c>
      <c r="G52" s="47">
        <f t="shared" si="1"/>
        <v>0</v>
      </c>
      <c r="H52" s="79"/>
      <c r="J52" s="1"/>
      <c r="K52" s="44"/>
    </row>
    <row r="53" spans="2:12" ht="15" customHeight="1" thickBot="1" x14ac:dyDescent="0.3">
      <c r="B53" s="104"/>
      <c r="C53" s="48" t="s">
        <v>19</v>
      </c>
      <c r="D53" s="49"/>
      <c r="E53" s="49"/>
      <c r="F53" s="50">
        <f>(G19*9.89)+(G20*201)+(G21*3.315)+(G22*3.6)</f>
        <v>0</v>
      </c>
      <c r="G53" s="50">
        <f t="shared" si="1"/>
        <v>0</v>
      </c>
      <c r="H53" s="79"/>
      <c r="J53" s="1"/>
      <c r="K53" s="44"/>
    </row>
    <row r="54" spans="2:12" ht="15" customHeight="1" thickTop="1" x14ac:dyDescent="0.25">
      <c r="B54" s="104"/>
      <c r="C54" s="98" t="s">
        <v>78</v>
      </c>
      <c r="D54" s="99"/>
      <c r="E54" s="99"/>
      <c r="F54" s="51">
        <f>SUM(F49:F53)</f>
        <v>0</v>
      </c>
      <c r="G54" s="51">
        <f t="shared" si="1"/>
        <v>0</v>
      </c>
      <c r="H54" s="101"/>
      <c r="J54" s="1"/>
      <c r="K54" s="52"/>
    </row>
    <row r="55" spans="2:12" ht="15" customHeight="1" x14ac:dyDescent="0.25">
      <c r="B55" s="104"/>
      <c r="C55" s="1"/>
      <c r="D55" s="1"/>
      <c r="E55" s="1"/>
      <c r="F55" s="1"/>
      <c r="G55" s="1"/>
      <c r="H55" s="1"/>
      <c r="I55" s="1"/>
      <c r="J55" s="1"/>
      <c r="K55" s="22"/>
    </row>
    <row r="56" spans="2:12" ht="15" customHeight="1" x14ac:dyDescent="0.25">
      <c r="B56" s="104"/>
      <c r="C56" s="53" t="s">
        <v>42</v>
      </c>
      <c r="D56" s="53"/>
      <c r="E56" s="1"/>
      <c r="F56" s="1"/>
      <c r="G56" s="1"/>
      <c r="H56" s="1"/>
      <c r="I56" s="1"/>
      <c r="J56" s="1"/>
      <c r="K56" s="22"/>
    </row>
    <row r="57" spans="2:12" ht="15" customHeight="1" x14ac:dyDescent="0.25">
      <c r="B57" s="104"/>
      <c r="C57" s="54" t="s">
        <v>43</v>
      </c>
      <c r="D57" s="54"/>
      <c r="F57" s="1"/>
      <c r="G57" s="1"/>
      <c r="H57" s="1"/>
      <c r="I57" s="1"/>
      <c r="J57" s="1"/>
      <c r="K57" s="22"/>
    </row>
    <row r="58" spans="2:12" ht="15" customHeight="1" x14ac:dyDescent="0.25">
      <c r="B58" s="104"/>
      <c r="C58" s="55" t="s">
        <v>44</v>
      </c>
      <c r="D58" s="55"/>
      <c r="F58" s="1"/>
      <c r="G58" s="1"/>
      <c r="H58" s="1"/>
      <c r="I58" s="1"/>
      <c r="J58" s="1"/>
      <c r="K58" s="22"/>
    </row>
    <row r="59" spans="2:12" ht="15" customHeight="1" x14ac:dyDescent="0.25">
      <c r="B59" s="104"/>
      <c r="C59" s="54" t="s">
        <v>45</v>
      </c>
      <c r="D59" s="54"/>
      <c r="F59" s="1"/>
      <c r="G59" s="1"/>
      <c r="H59" s="1"/>
      <c r="I59" s="1"/>
      <c r="J59" s="1"/>
      <c r="K59" s="22"/>
    </row>
    <row r="60" spans="2:12" ht="15" customHeight="1" thickBot="1" x14ac:dyDescent="0.3">
      <c r="B60" s="104"/>
      <c r="C60" s="1"/>
      <c r="D60" s="1"/>
      <c r="E60" s="1"/>
      <c r="F60" s="1"/>
      <c r="G60" s="1"/>
      <c r="H60" s="1"/>
      <c r="I60" s="1"/>
      <c r="J60" s="1"/>
      <c r="K60" s="22"/>
    </row>
    <row r="61" spans="2:12" ht="15" customHeight="1" x14ac:dyDescent="0.25">
      <c r="B61" s="34"/>
      <c r="C61" s="34"/>
      <c r="D61" s="34"/>
      <c r="E61" s="34"/>
      <c r="F61" s="34"/>
      <c r="G61" s="34"/>
      <c r="H61" s="34"/>
      <c r="I61" s="34"/>
      <c r="J61" s="34"/>
      <c r="K61" s="34"/>
    </row>
    <row r="62" spans="2:12" ht="15" customHeight="1" thickBot="1" x14ac:dyDescent="0.3">
      <c r="B62" s="56"/>
      <c r="C62" s="56"/>
      <c r="D62" s="56"/>
      <c r="E62" s="56"/>
      <c r="F62" s="56"/>
      <c r="G62" s="56"/>
      <c r="H62" s="56"/>
      <c r="I62" s="56"/>
      <c r="J62" s="56"/>
      <c r="K62" s="56"/>
    </row>
    <row r="63" spans="2:12" ht="15" customHeight="1" x14ac:dyDescent="0.25">
      <c r="B63" s="104"/>
      <c r="E63" s="36"/>
      <c r="F63" s="36"/>
      <c r="G63" s="36"/>
      <c r="H63" s="36"/>
      <c r="I63" s="36"/>
      <c r="J63" s="57"/>
      <c r="K63" s="58"/>
      <c r="L63" s="87"/>
    </row>
    <row r="64" spans="2:12" ht="15" customHeight="1" x14ac:dyDescent="0.25">
      <c r="B64" s="132" t="s">
        <v>20</v>
      </c>
      <c r="C64" s="133"/>
      <c r="D64" s="133"/>
      <c r="E64" s="133"/>
      <c r="F64" s="133"/>
      <c r="G64" s="133"/>
      <c r="H64" s="133"/>
      <c r="I64" s="133"/>
      <c r="J64" s="133"/>
      <c r="K64" s="134"/>
      <c r="L64" s="87"/>
    </row>
    <row r="65" spans="2:12" ht="15" customHeight="1" thickBot="1" x14ac:dyDescent="0.3">
      <c r="B65" s="14"/>
      <c r="C65" s="15"/>
      <c r="D65" s="15"/>
      <c r="E65" s="15"/>
      <c r="F65" s="15"/>
      <c r="G65" s="15"/>
      <c r="H65" s="15"/>
      <c r="I65" s="15"/>
      <c r="J65" s="15"/>
      <c r="K65" s="16"/>
      <c r="L65" s="87"/>
    </row>
    <row r="66" spans="2:12" ht="15" customHeight="1" x14ac:dyDescent="0.25">
      <c r="B66" s="95"/>
      <c r="C66" s="96"/>
      <c r="D66" s="96"/>
      <c r="E66" s="96"/>
      <c r="F66" s="96"/>
      <c r="G66" s="96"/>
      <c r="H66" s="96"/>
      <c r="I66" s="96"/>
      <c r="J66" s="96"/>
      <c r="K66" s="97"/>
      <c r="L66" s="87"/>
    </row>
    <row r="67" spans="2:12" ht="15" customHeight="1" x14ac:dyDescent="0.25">
      <c r="B67" s="104"/>
      <c r="C67" s="59" t="s">
        <v>75</v>
      </c>
      <c r="D67" s="59"/>
      <c r="E67" s="36"/>
      <c r="F67" s="36"/>
      <c r="G67" s="36"/>
      <c r="H67" s="36"/>
      <c r="I67" s="36"/>
      <c r="J67" s="57"/>
      <c r="K67" s="58"/>
      <c r="L67" s="87"/>
    </row>
    <row r="68" spans="2:12" ht="15" customHeight="1" x14ac:dyDescent="0.25">
      <c r="B68" s="104"/>
      <c r="C68" s="60"/>
      <c r="D68" s="60"/>
      <c r="E68" s="36"/>
      <c r="F68" s="36"/>
      <c r="G68" s="36"/>
      <c r="H68" s="36"/>
      <c r="I68" s="36"/>
      <c r="J68" s="57"/>
      <c r="K68" s="58"/>
      <c r="L68" s="87"/>
    </row>
    <row r="69" spans="2:12" ht="15" customHeight="1" x14ac:dyDescent="0.25">
      <c r="B69" s="104"/>
      <c r="C69" s="23" t="s">
        <v>21</v>
      </c>
      <c r="D69" s="23"/>
      <c r="E69" s="1"/>
      <c r="F69" s="1"/>
      <c r="G69" s="1"/>
      <c r="H69" s="1"/>
      <c r="I69" s="1"/>
      <c r="J69" s="1"/>
      <c r="K69" s="22"/>
    </row>
    <row r="70" spans="2:12" ht="15" customHeight="1" x14ac:dyDescent="0.25">
      <c r="B70" s="104"/>
      <c r="C70" s="6"/>
      <c r="D70" s="6"/>
      <c r="E70" s="1"/>
      <c r="F70" s="1"/>
      <c r="G70" s="1"/>
      <c r="H70" s="1"/>
      <c r="I70" s="1"/>
      <c r="J70" s="1"/>
      <c r="K70" s="22"/>
    </row>
    <row r="71" spans="2:12" ht="15" customHeight="1" thickBot="1" x14ac:dyDescent="0.3">
      <c r="B71" s="104"/>
      <c r="C71" s="114"/>
      <c r="D71" s="115"/>
      <c r="E71" s="8" t="s">
        <v>2</v>
      </c>
      <c r="F71" s="8" t="s">
        <v>3</v>
      </c>
      <c r="G71" s="8" t="s">
        <v>50</v>
      </c>
      <c r="H71" s="96"/>
      <c r="I71" s="1"/>
      <c r="J71" s="1"/>
      <c r="K71" s="22"/>
    </row>
    <row r="72" spans="2:12" ht="15" customHeight="1" thickTop="1" x14ac:dyDescent="0.25">
      <c r="B72" s="104"/>
      <c r="C72" s="61" t="s">
        <v>22</v>
      </c>
      <c r="D72" s="61"/>
      <c r="E72" s="29">
        <f>G13</f>
        <v>0</v>
      </c>
      <c r="F72" s="62" t="s">
        <v>4</v>
      </c>
      <c r="G72" s="61" t="s">
        <v>51</v>
      </c>
      <c r="H72" s="1"/>
      <c r="I72" s="1"/>
      <c r="J72" s="1"/>
      <c r="K72" s="22"/>
    </row>
    <row r="73" spans="2:12" ht="15" customHeight="1" x14ac:dyDescent="0.25">
      <c r="B73" s="104"/>
      <c r="C73" s="63" t="s">
        <v>55</v>
      </c>
      <c r="D73" s="63"/>
      <c r="E73" s="31">
        <f>(E72*0.0097)</f>
        <v>0</v>
      </c>
      <c r="F73" s="64" t="s">
        <v>76</v>
      </c>
      <c r="G73" s="63" t="s">
        <v>56</v>
      </c>
      <c r="H73" s="1"/>
      <c r="I73" s="1"/>
      <c r="J73" s="1"/>
      <c r="K73" s="22"/>
    </row>
    <row r="74" spans="2:12" ht="15" customHeight="1" x14ac:dyDescent="0.25">
      <c r="B74" s="104"/>
      <c r="C74" s="63" t="s">
        <v>23</v>
      </c>
      <c r="D74" s="63"/>
      <c r="E74" s="31">
        <f>(E72*0.0039)</f>
        <v>0</v>
      </c>
      <c r="F74" s="64" t="s">
        <v>76</v>
      </c>
      <c r="G74" s="63" t="s">
        <v>56</v>
      </c>
      <c r="H74" s="1"/>
      <c r="I74" s="1"/>
      <c r="J74" s="1"/>
      <c r="K74" s="22"/>
    </row>
    <row r="75" spans="2:12" ht="15" customHeight="1" thickBot="1" x14ac:dyDescent="0.3">
      <c r="B75" s="104"/>
      <c r="C75" s="65" t="s">
        <v>24</v>
      </c>
      <c r="D75" s="65"/>
      <c r="E75" s="66">
        <f>(E72*0.0679)</f>
        <v>0</v>
      </c>
      <c r="F75" s="65" t="s">
        <v>76</v>
      </c>
      <c r="G75" s="67" t="s">
        <v>56</v>
      </c>
      <c r="H75" s="1"/>
      <c r="I75" s="1"/>
      <c r="J75" s="1"/>
      <c r="K75" s="22"/>
    </row>
    <row r="76" spans="2:12" ht="15" customHeight="1" thickTop="1" x14ac:dyDescent="0.25">
      <c r="B76" s="104"/>
      <c r="C76" s="68" t="s">
        <v>54</v>
      </c>
      <c r="D76" s="68"/>
      <c r="E76" s="51">
        <f>SUM(E73:E75)</f>
        <v>0</v>
      </c>
      <c r="F76" s="69" t="s">
        <v>76</v>
      </c>
      <c r="G76" s="68" t="s">
        <v>56</v>
      </c>
      <c r="H76" s="1"/>
      <c r="I76" s="1"/>
      <c r="J76" s="1"/>
      <c r="K76" s="22"/>
    </row>
    <row r="77" spans="2:12" ht="15" customHeight="1" x14ac:dyDescent="0.25">
      <c r="B77" s="104"/>
      <c r="C77" s="1"/>
      <c r="D77" s="1"/>
      <c r="E77" s="1"/>
      <c r="F77" s="1"/>
      <c r="G77" s="1"/>
      <c r="H77" s="1"/>
      <c r="I77" s="1"/>
      <c r="J77" s="1"/>
      <c r="K77" s="22"/>
    </row>
    <row r="78" spans="2:12" ht="15" customHeight="1" x14ac:dyDescent="0.25">
      <c r="B78" s="104"/>
      <c r="C78" s="70" t="s">
        <v>96</v>
      </c>
      <c r="D78" s="70"/>
      <c r="E78" s="25"/>
      <c r="F78" s="25"/>
      <c r="G78" s="1"/>
      <c r="H78" s="1"/>
      <c r="I78" s="1"/>
      <c r="J78" s="1"/>
      <c r="K78" s="22"/>
    </row>
    <row r="79" spans="2:12" ht="15" customHeight="1" x14ac:dyDescent="0.25">
      <c r="B79" s="104"/>
      <c r="C79" s="3"/>
      <c r="D79" s="3"/>
      <c r="E79" s="25"/>
      <c r="F79" s="25"/>
      <c r="G79" s="1"/>
      <c r="H79" s="1"/>
      <c r="I79" s="1"/>
      <c r="J79" s="1"/>
      <c r="K79" s="22"/>
    </row>
    <row r="80" spans="2:12" ht="15" customHeight="1" thickBot="1" x14ac:dyDescent="0.3">
      <c r="B80" s="104"/>
      <c r="C80" s="143" t="s">
        <v>97</v>
      </c>
      <c r="D80" s="144"/>
      <c r="E80" s="8" t="s">
        <v>25</v>
      </c>
      <c r="F80" s="8" t="s">
        <v>26</v>
      </c>
      <c r="G80" s="8" t="s">
        <v>3</v>
      </c>
      <c r="H80" s="96"/>
      <c r="I80" s="1"/>
      <c r="J80" s="1"/>
      <c r="K80" s="22"/>
    </row>
    <row r="81" spans="2:13" ht="15" customHeight="1" thickTop="1" x14ac:dyDescent="0.25">
      <c r="B81" s="104"/>
      <c r="C81" s="145" t="s">
        <v>27</v>
      </c>
      <c r="D81" s="146"/>
      <c r="E81" s="30">
        <v>9.4100000000000003E-2</v>
      </c>
      <c r="F81" s="30">
        <v>0.13800000000000001</v>
      </c>
      <c r="G81" s="71" t="s">
        <v>57</v>
      </c>
      <c r="H81" s="73"/>
      <c r="I81" s="1"/>
      <c r="J81" s="1"/>
      <c r="K81" s="22"/>
    </row>
    <row r="82" spans="2:13" ht="15" customHeight="1" x14ac:dyDescent="0.25">
      <c r="B82" s="104"/>
      <c r="C82" s="147" t="s">
        <v>28</v>
      </c>
      <c r="D82" s="148"/>
      <c r="E82" s="32">
        <v>1.26E-2</v>
      </c>
      <c r="F82" s="32">
        <v>1.7999999999999999E-2</v>
      </c>
      <c r="G82" s="72" t="s">
        <v>57</v>
      </c>
      <c r="H82" s="73"/>
      <c r="I82" s="1"/>
      <c r="J82" s="1"/>
      <c r="K82" s="22"/>
    </row>
    <row r="83" spans="2:13" ht="15" customHeight="1" x14ac:dyDescent="0.25">
      <c r="B83" s="104"/>
      <c r="C83" s="147" t="s">
        <v>29</v>
      </c>
      <c r="D83" s="148"/>
      <c r="E83" s="32">
        <v>5.7999999999999996E-3</v>
      </c>
      <c r="F83" s="32">
        <v>8.6999999999999994E-3</v>
      </c>
      <c r="G83" s="72" t="s">
        <v>57</v>
      </c>
      <c r="H83" s="73"/>
      <c r="I83" s="1"/>
      <c r="J83" s="1"/>
      <c r="K83" s="22"/>
    </row>
    <row r="84" spans="2:13" ht="15" customHeight="1" x14ac:dyDescent="0.25">
      <c r="B84" s="104"/>
      <c r="C84" s="1"/>
      <c r="D84" s="1"/>
      <c r="E84" s="5"/>
      <c r="F84" s="25"/>
      <c r="G84" s="73"/>
      <c r="H84" s="73"/>
      <c r="I84" s="1"/>
      <c r="J84" s="1"/>
      <c r="K84" s="22"/>
    </row>
    <row r="85" spans="2:13" ht="15" customHeight="1" x14ac:dyDescent="0.25">
      <c r="B85" s="104"/>
      <c r="C85" s="141" t="s">
        <v>64</v>
      </c>
      <c r="D85" s="141"/>
      <c r="E85" s="141"/>
      <c r="F85" s="142"/>
      <c r="G85" s="135" t="s">
        <v>98</v>
      </c>
      <c r="H85" s="136"/>
      <c r="I85" s="136"/>
      <c r="J85" s="137"/>
      <c r="K85" s="22"/>
    </row>
    <row r="86" spans="2:13" ht="15" customHeight="1" thickBot="1" x14ac:dyDescent="0.3">
      <c r="B86" s="104"/>
      <c r="C86" s="118" t="s">
        <v>58</v>
      </c>
      <c r="D86" s="119"/>
      <c r="E86" s="8" t="s">
        <v>30</v>
      </c>
      <c r="F86" s="8" t="s">
        <v>60</v>
      </c>
      <c r="G86" s="8" t="s">
        <v>27</v>
      </c>
      <c r="H86" s="118" t="s">
        <v>28</v>
      </c>
      <c r="I86" s="119"/>
      <c r="J86" s="8" t="s">
        <v>29</v>
      </c>
      <c r="K86" s="22"/>
      <c r="L86" s="88"/>
      <c r="M86" s="88"/>
    </row>
    <row r="87" spans="2:13" ht="15" customHeight="1" thickTop="1" x14ac:dyDescent="0.25">
      <c r="B87" s="104"/>
      <c r="C87" s="149" t="s">
        <v>32</v>
      </c>
      <c r="D87" s="150"/>
      <c r="E87" s="81">
        <v>0</v>
      </c>
      <c r="F87" s="82">
        <v>0</v>
      </c>
      <c r="G87" s="74">
        <f>IF(AND($G$17&gt;1,$G$17&lt;30),($E$81*$F87)*(1-0.7),($F$81*$F87)*(1-0.7))</f>
        <v>0</v>
      </c>
      <c r="H87" s="120"/>
      <c r="I87" s="121"/>
      <c r="J87" s="43"/>
      <c r="K87" s="22"/>
    </row>
    <row r="88" spans="2:13" ht="15" customHeight="1" x14ac:dyDescent="0.25">
      <c r="B88" s="104"/>
      <c r="C88" s="151"/>
      <c r="D88" s="152"/>
      <c r="E88" s="75"/>
      <c r="F88" s="76"/>
      <c r="G88" s="47"/>
      <c r="H88" s="122">
        <f>IF(AND($G$17&gt;1,$G$17&lt;30),($E$82*F88),($F$82*F88))</f>
        <v>0</v>
      </c>
      <c r="I88" s="123"/>
      <c r="J88" s="47"/>
      <c r="K88" s="22"/>
    </row>
    <row r="89" spans="2:13" ht="15" customHeight="1" thickBot="1" x14ac:dyDescent="0.3">
      <c r="B89" s="104"/>
      <c r="C89" s="153"/>
      <c r="D89" s="154"/>
      <c r="E89" s="77"/>
      <c r="F89" s="78"/>
      <c r="G89" s="50"/>
      <c r="H89" s="124"/>
      <c r="I89" s="125"/>
      <c r="J89" s="50">
        <f>IF(AND($G$17&gt;1,$G$17&lt;30),($E$83*$F89),($F$83*$F89))</f>
        <v>0</v>
      </c>
      <c r="K89" s="22"/>
    </row>
    <row r="90" spans="2:13" ht="15" customHeight="1" thickTop="1" x14ac:dyDescent="0.25">
      <c r="B90" s="104"/>
      <c r="C90" s="138" t="s">
        <v>71</v>
      </c>
      <c r="D90" s="139"/>
      <c r="E90" s="139"/>
      <c r="F90" s="140"/>
      <c r="G90" s="51">
        <f>SUM(G87:G89)</f>
        <v>0</v>
      </c>
      <c r="H90" s="116">
        <f>SUM(H87:H89)</f>
        <v>0</v>
      </c>
      <c r="I90" s="117"/>
      <c r="J90" s="51">
        <f>SUM(J87:J89)</f>
        <v>0</v>
      </c>
      <c r="K90" s="22"/>
    </row>
    <row r="91" spans="2:13" ht="15" customHeight="1" x14ac:dyDescent="0.25">
      <c r="B91" s="104"/>
      <c r="C91" s="4"/>
      <c r="D91" s="4"/>
      <c r="E91" s="25"/>
      <c r="F91" s="25"/>
      <c r="G91" s="79"/>
      <c r="H91" s="79"/>
      <c r="I91" s="79"/>
      <c r="J91" s="79"/>
      <c r="K91" s="22"/>
    </row>
    <row r="92" spans="2:13" ht="15" customHeight="1" x14ac:dyDescent="0.25">
      <c r="B92" s="104"/>
      <c r="C92" s="53" t="s">
        <v>42</v>
      </c>
      <c r="D92" s="53"/>
      <c r="E92" s="25"/>
      <c r="F92" s="25"/>
      <c r="G92" s="1"/>
      <c r="H92" s="1"/>
      <c r="I92" s="1"/>
      <c r="J92" s="1"/>
      <c r="K92" s="22"/>
    </row>
    <row r="93" spans="2:13" ht="15" customHeight="1" x14ac:dyDescent="0.25">
      <c r="B93" s="104"/>
      <c r="C93" s="55" t="s">
        <v>59</v>
      </c>
      <c r="D93" s="55"/>
      <c r="E93" s="25"/>
      <c r="F93" s="25"/>
      <c r="G93" s="1"/>
      <c r="H93" s="1"/>
      <c r="I93" s="1"/>
      <c r="J93" s="1"/>
      <c r="K93" s="22"/>
    </row>
    <row r="94" spans="2:13" ht="15" customHeight="1" x14ac:dyDescent="0.25">
      <c r="B94" s="104"/>
      <c r="C94" s="55"/>
      <c r="D94" s="55"/>
      <c r="E94" s="25"/>
      <c r="F94" s="25"/>
      <c r="G94" s="1"/>
      <c r="H94" s="1"/>
      <c r="I94" s="1"/>
      <c r="J94" s="1"/>
      <c r="K94" s="22"/>
    </row>
    <row r="95" spans="2:13" ht="15" customHeight="1" x14ac:dyDescent="0.25">
      <c r="B95" s="104"/>
      <c r="C95" s="141" t="s">
        <v>63</v>
      </c>
      <c r="D95" s="141"/>
      <c r="E95" s="141"/>
      <c r="F95" s="142"/>
      <c r="G95" s="135" t="s">
        <v>98</v>
      </c>
      <c r="H95" s="136"/>
      <c r="I95" s="136"/>
      <c r="J95" s="137"/>
      <c r="K95" s="22"/>
    </row>
    <row r="96" spans="2:13" ht="15" customHeight="1" thickBot="1" x14ac:dyDescent="0.3">
      <c r="B96" s="104"/>
      <c r="C96" s="118" t="s">
        <v>58</v>
      </c>
      <c r="D96" s="119"/>
      <c r="E96" s="8" t="s">
        <v>30</v>
      </c>
      <c r="F96" s="8" t="s">
        <v>60</v>
      </c>
      <c r="G96" s="8" t="s">
        <v>27</v>
      </c>
      <c r="H96" s="118" t="s">
        <v>28</v>
      </c>
      <c r="I96" s="119"/>
      <c r="J96" s="8" t="s">
        <v>29</v>
      </c>
      <c r="K96" s="22"/>
    </row>
    <row r="97" spans="2:11" ht="15" customHeight="1" thickTop="1" x14ac:dyDescent="0.25">
      <c r="B97" s="104"/>
      <c r="C97" s="155" t="s">
        <v>62</v>
      </c>
      <c r="D97" s="156"/>
      <c r="E97" s="81">
        <v>0</v>
      </c>
      <c r="F97" s="82">
        <v>0</v>
      </c>
      <c r="G97" s="74">
        <f>IF(AND($G$17&gt;1,$G$17&lt;30),($E$81*$F97)*(1-0.85),($F$81*$F97)*(1-0.85))</f>
        <v>0</v>
      </c>
      <c r="H97" s="120"/>
      <c r="I97" s="121"/>
      <c r="J97" s="43"/>
      <c r="K97" s="22"/>
    </row>
    <row r="98" spans="2:11" ht="15" customHeight="1" x14ac:dyDescent="0.25">
      <c r="B98" s="104"/>
      <c r="C98" s="157"/>
      <c r="D98" s="158"/>
      <c r="E98" s="83">
        <v>0</v>
      </c>
      <c r="F98" s="84">
        <v>0</v>
      </c>
      <c r="G98" s="47"/>
      <c r="H98" s="122">
        <f>IF(AND(G$17&gt;1,G$17&lt;30),($E$82*F98)*(1-0.85),($F$82*F98)*(1-0.85))</f>
        <v>0</v>
      </c>
      <c r="I98" s="123"/>
      <c r="J98" s="47"/>
      <c r="K98" s="22"/>
    </row>
    <row r="99" spans="2:11" ht="15" customHeight="1" thickBot="1" x14ac:dyDescent="0.3">
      <c r="B99" s="104"/>
      <c r="C99" s="159"/>
      <c r="D99" s="160"/>
      <c r="E99" s="85">
        <v>0</v>
      </c>
      <c r="F99" s="86">
        <v>0</v>
      </c>
      <c r="G99" s="50"/>
      <c r="H99" s="124"/>
      <c r="I99" s="125"/>
      <c r="J99" s="50">
        <f>IF(AND($G$17&gt;1,$G$17&lt;30),($E$83*$F99)*(1-0.85),($F$83*$F99)*(1-0.85))</f>
        <v>0</v>
      </c>
      <c r="K99" s="22"/>
    </row>
    <row r="100" spans="2:11" ht="15" customHeight="1" thickTop="1" x14ac:dyDescent="0.25">
      <c r="B100" s="104"/>
      <c r="C100" s="138" t="s">
        <v>71</v>
      </c>
      <c r="D100" s="139"/>
      <c r="E100" s="139"/>
      <c r="F100" s="140"/>
      <c r="G100" s="51">
        <f>SUM(G97:G99)</f>
        <v>0</v>
      </c>
      <c r="H100" s="116">
        <f>SUM(H97:H99)</f>
        <v>0</v>
      </c>
      <c r="I100" s="117"/>
      <c r="J100" s="51">
        <f>SUM(J97:J99)</f>
        <v>0</v>
      </c>
      <c r="K100" s="22"/>
    </row>
    <row r="101" spans="2:11" ht="15" customHeight="1" x14ac:dyDescent="0.25">
      <c r="B101" s="104"/>
      <c r="C101" s="55"/>
      <c r="D101" s="55"/>
      <c r="E101" s="25"/>
      <c r="F101" s="25"/>
      <c r="G101" s="1"/>
      <c r="H101" s="1"/>
      <c r="I101" s="1"/>
      <c r="J101" s="1"/>
      <c r="K101" s="22"/>
    </row>
    <row r="102" spans="2:11" ht="15" customHeight="1" x14ac:dyDescent="0.25">
      <c r="B102" s="104"/>
      <c r="C102" s="53" t="s">
        <v>42</v>
      </c>
      <c r="D102" s="53"/>
      <c r="E102" s="25"/>
      <c r="F102" s="25"/>
      <c r="G102" s="1"/>
      <c r="H102" s="1"/>
      <c r="I102" s="1"/>
      <c r="J102" s="1"/>
      <c r="K102" s="22"/>
    </row>
    <row r="103" spans="2:11" ht="15" customHeight="1" x14ac:dyDescent="0.25">
      <c r="B103" s="104"/>
      <c r="C103" s="55" t="s">
        <v>61</v>
      </c>
      <c r="D103" s="55"/>
      <c r="E103" s="25"/>
      <c r="F103" s="25"/>
      <c r="G103" s="1"/>
      <c r="H103" s="1"/>
      <c r="I103" s="1"/>
      <c r="J103" s="1"/>
      <c r="K103" s="22"/>
    </row>
    <row r="104" spans="2:11" ht="15" customHeight="1" x14ac:dyDescent="0.25">
      <c r="B104" s="104"/>
      <c r="C104" s="55"/>
      <c r="D104" s="55"/>
      <c r="E104" s="25"/>
      <c r="F104" s="25"/>
      <c r="G104" s="1"/>
      <c r="H104" s="1"/>
      <c r="I104" s="1"/>
      <c r="J104" s="1"/>
      <c r="K104" s="22"/>
    </row>
    <row r="105" spans="2:11" ht="15" customHeight="1" x14ac:dyDescent="0.25">
      <c r="B105" s="104"/>
      <c r="C105" s="141" t="s">
        <v>65</v>
      </c>
      <c r="D105" s="141"/>
      <c r="E105" s="141"/>
      <c r="F105" s="142"/>
      <c r="G105" s="135" t="s">
        <v>98</v>
      </c>
      <c r="H105" s="136"/>
      <c r="I105" s="136"/>
      <c r="J105" s="137"/>
      <c r="K105" s="22"/>
    </row>
    <row r="106" spans="2:11" ht="15" customHeight="1" thickBot="1" x14ac:dyDescent="0.3">
      <c r="B106" s="104"/>
      <c r="C106" s="118" t="s">
        <v>58</v>
      </c>
      <c r="D106" s="119"/>
      <c r="E106" s="8" t="s">
        <v>30</v>
      </c>
      <c r="F106" s="8" t="s">
        <v>60</v>
      </c>
      <c r="G106" s="8" t="s">
        <v>27</v>
      </c>
      <c r="H106" s="118" t="s">
        <v>28</v>
      </c>
      <c r="I106" s="119"/>
      <c r="J106" s="8" t="s">
        <v>29</v>
      </c>
      <c r="K106" s="22"/>
    </row>
    <row r="107" spans="2:11" ht="15" customHeight="1" thickTop="1" x14ac:dyDescent="0.25">
      <c r="B107" s="104"/>
      <c r="C107" s="155" t="s">
        <v>66</v>
      </c>
      <c r="D107" s="156"/>
      <c r="E107" s="81">
        <v>0</v>
      </c>
      <c r="F107" s="82">
        <v>0</v>
      </c>
      <c r="G107" s="74">
        <f>IF(AND($G$17&gt;1,$G$17&lt;30),($E$81*$F107)*(1-0.95),($F$81*$F107)*(1-0.95))</f>
        <v>0</v>
      </c>
      <c r="H107" s="120"/>
      <c r="I107" s="121"/>
      <c r="J107" s="43"/>
      <c r="K107" s="22"/>
    </row>
    <row r="108" spans="2:11" ht="15" customHeight="1" x14ac:dyDescent="0.25">
      <c r="B108" s="104"/>
      <c r="C108" s="157"/>
      <c r="D108" s="158"/>
      <c r="E108" s="83">
        <v>0</v>
      </c>
      <c r="F108" s="84">
        <v>0</v>
      </c>
      <c r="G108" s="47"/>
      <c r="H108" s="122">
        <f>IF(AND($G$17&gt;1,$G$17&lt;30),($E$82*F108)*(1-0.95),($F$82*F108)*(1-0.95))</f>
        <v>0</v>
      </c>
      <c r="I108" s="123"/>
      <c r="J108" s="47"/>
      <c r="K108" s="22"/>
    </row>
    <row r="109" spans="2:11" ht="15" customHeight="1" thickBot="1" x14ac:dyDescent="0.3">
      <c r="B109" s="104"/>
      <c r="C109" s="159"/>
      <c r="D109" s="160"/>
      <c r="E109" s="85">
        <v>0</v>
      </c>
      <c r="F109" s="86">
        <v>0</v>
      </c>
      <c r="G109" s="50"/>
      <c r="H109" s="124"/>
      <c r="I109" s="125"/>
      <c r="J109" s="50">
        <f>IF(AND($G$17&gt;1,$G$17&lt;30),($E$83*$F109)*(1-0.95),($F$83*$F109)*(1-0.95))</f>
        <v>0</v>
      </c>
      <c r="K109" s="22"/>
    </row>
    <row r="110" spans="2:11" ht="15" customHeight="1" thickTop="1" x14ac:dyDescent="0.25">
      <c r="B110" s="104"/>
      <c r="C110" s="138" t="s">
        <v>71</v>
      </c>
      <c r="D110" s="139"/>
      <c r="E110" s="139"/>
      <c r="F110" s="140"/>
      <c r="G110" s="51">
        <f>SUM(G107:G109)</f>
        <v>0</v>
      </c>
      <c r="H110" s="116">
        <f>SUM(H107:H109)</f>
        <v>0</v>
      </c>
      <c r="I110" s="117"/>
      <c r="J110" s="51">
        <f>SUM(J107:J109)</f>
        <v>0</v>
      </c>
      <c r="K110" s="22"/>
    </row>
    <row r="111" spans="2:11" ht="15" customHeight="1" x14ac:dyDescent="0.25">
      <c r="B111" s="104"/>
      <c r="C111" s="55"/>
      <c r="D111" s="55"/>
      <c r="E111" s="25"/>
      <c r="F111" s="25"/>
      <c r="G111" s="1"/>
      <c r="H111" s="1"/>
      <c r="I111" s="1"/>
      <c r="J111" s="1"/>
      <c r="K111" s="22"/>
    </row>
    <row r="112" spans="2:11" ht="15" customHeight="1" x14ac:dyDescent="0.25">
      <c r="B112" s="104"/>
      <c r="C112" s="53" t="s">
        <v>42</v>
      </c>
      <c r="D112" s="53"/>
      <c r="E112" s="25"/>
      <c r="F112" s="25"/>
      <c r="G112" s="1"/>
      <c r="H112" s="1"/>
      <c r="I112" s="1"/>
      <c r="J112" s="1"/>
      <c r="K112" s="22"/>
    </row>
    <row r="113" spans="2:11" ht="15" customHeight="1" x14ac:dyDescent="0.25">
      <c r="B113" s="104"/>
      <c r="C113" s="55" t="s">
        <v>67</v>
      </c>
      <c r="D113" s="55"/>
      <c r="E113" s="25"/>
      <c r="F113" s="25"/>
      <c r="G113" s="1"/>
      <c r="H113" s="1"/>
      <c r="I113" s="1"/>
      <c r="J113" s="1"/>
      <c r="K113" s="22"/>
    </row>
    <row r="114" spans="2:11" ht="15" customHeight="1" x14ac:dyDescent="0.25">
      <c r="B114" s="104"/>
      <c r="C114" s="55"/>
      <c r="D114" s="55"/>
      <c r="E114" s="25"/>
      <c r="F114" s="25"/>
      <c r="G114" s="1"/>
      <c r="H114" s="1"/>
      <c r="I114" s="1"/>
      <c r="J114" s="1"/>
      <c r="K114" s="22"/>
    </row>
    <row r="115" spans="2:11" ht="15" customHeight="1" x14ac:dyDescent="0.25">
      <c r="B115" s="104"/>
      <c r="C115" s="141" t="s">
        <v>100</v>
      </c>
      <c r="D115" s="141"/>
      <c r="E115" s="141"/>
      <c r="F115" s="142"/>
      <c r="G115" s="135" t="s">
        <v>72</v>
      </c>
      <c r="H115" s="136"/>
      <c r="I115" s="136"/>
      <c r="J115" s="137"/>
      <c r="K115" s="22"/>
    </row>
    <row r="116" spans="2:11" ht="15" customHeight="1" thickBot="1" x14ac:dyDescent="0.3">
      <c r="B116" s="104"/>
      <c r="C116" s="118" t="s">
        <v>58</v>
      </c>
      <c r="D116" s="119"/>
      <c r="E116" s="118" t="s">
        <v>70</v>
      </c>
      <c r="F116" s="119"/>
      <c r="G116" s="8" t="s">
        <v>73</v>
      </c>
      <c r="H116" s="118" t="s">
        <v>74</v>
      </c>
      <c r="I116" s="119"/>
      <c r="J116" s="8" t="s">
        <v>31</v>
      </c>
      <c r="K116" s="22"/>
    </row>
    <row r="117" spans="2:11" ht="15" customHeight="1" thickTop="1" x14ac:dyDescent="0.25">
      <c r="B117" s="104"/>
      <c r="C117" s="155" t="s">
        <v>99</v>
      </c>
      <c r="D117" s="156"/>
      <c r="E117" s="161">
        <v>0</v>
      </c>
      <c r="F117" s="162"/>
      <c r="G117" s="110">
        <f>(E117*560*(1-0.85))</f>
        <v>0</v>
      </c>
      <c r="H117" s="167"/>
      <c r="I117" s="168"/>
      <c r="J117" s="111"/>
      <c r="K117" s="22"/>
    </row>
    <row r="118" spans="2:11" ht="15" customHeight="1" x14ac:dyDescent="0.25">
      <c r="B118" s="104"/>
      <c r="C118" s="157"/>
      <c r="D118" s="158"/>
      <c r="E118" s="163">
        <v>0</v>
      </c>
      <c r="F118" s="164"/>
      <c r="G118" s="112"/>
      <c r="H118" s="169">
        <f>E118*560*(1-0.95)</f>
        <v>0</v>
      </c>
      <c r="I118" s="170"/>
      <c r="J118" s="112"/>
      <c r="K118" s="22"/>
    </row>
    <row r="119" spans="2:11" ht="15" customHeight="1" thickBot="1" x14ac:dyDescent="0.3">
      <c r="B119" s="104"/>
      <c r="C119" s="159"/>
      <c r="D119" s="160"/>
      <c r="E119" s="165">
        <v>0</v>
      </c>
      <c r="F119" s="166"/>
      <c r="G119" s="113"/>
      <c r="H119" s="171"/>
      <c r="I119" s="172"/>
      <c r="J119" s="113">
        <f>(E119*560)</f>
        <v>0</v>
      </c>
      <c r="K119" s="22"/>
    </row>
    <row r="120" spans="2:11" ht="15" customHeight="1" thickTop="1" x14ac:dyDescent="0.25">
      <c r="B120" s="104"/>
      <c r="C120" s="138" t="s">
        <v>71</v>
      </c>
      <c r="D120" s="139"/>
      <c r="E120" s="139"/>
      <c r="F120" s="140"/>
      <c r="G120" s="51">
        <f>SUM(G117:G119)</f>
        <v>0</v>
      </c>
      <c r="H120" s="116">
        <f>SUM(H117:H119)</f>
        <v>0</v>
      </c>
      <c r="I120" s="117"/>
      <c r="J120" s="51">
        <f>SUM(J117:J119)</f>
        <v>0</v>
      </c>
      <c r="K120" s="22"/>
    </row>
    <row r="121" spans="2:11" ht="15" customHeight="1" x14ac:dyDescent="0.25">
      <c r="B121" s="104"/>
      <c r="C121" s="55"/>
      <c r="D121" s="55"/>
      <c r="E121" s="25"/>
      <c r="F121" s="25"/>
      <c r="G121" s="1"/>
      <c r="H121" s="1"/>
      <c r="I121" s="1"/>
      <c r="J121" s="1"/>
      <c r="K121" s="22"/>
    </row>
    <row r="122" spans="2:11" ht="15" customHeight="1" x14ac:dyDescent="0.25">
      <c r="B122" s="104"/>
      <c r="C122" s="53" t="s">
        <v>42</v>
      </c>
      <c r="D122" s="53"/>
      <c r="E122" s="25"/>
      <c r="F122" s="25"/>
      <c r="G122" s="1"/>
      <c r="H122" s="1"/>
      <c r="I122" s="1"/>
      <c r="J122" s="1"/>
      <c r="K122" s="22"/>
    </row>
    <row r="123" spans="2:11" ht="15" customHeight="1" x14ac:dyDescent="0.25">
      <c r="B123" s="104"/>
      <c r="C123" s="55" t="s">
        <v>69</v>
      </c>
      <c r="D123" s="55"/>
      <c r="E123" s="25"/>
      <c r="F123" s="25"/>
      <c r="G123" s="1"/>
      <c r="H123" s="1"/>
      <c r="I123" s="1"/>
      <c r="J123" s="1"/>
      <c r="K123" s="22"/>
    </row>
    <row r="124" spans="2:11" ht="15" customHeight="1" x14ac:dyDescent="0.25">
      <c r="B124" s="104"/>
      <c r="C124" s="55" t="s">
        <v>68</v>
      </c>
      <c r="D124" s="55"/>
      <c r="E124" s="25"/>
      <c r="F124" s="25"/>
      <c r="G124" s="1"/>
      <c r="H124" s="1"/>
      <c r="I124" s="1"/>
      <c r="J124" s="1"/>
      <c r="K124" s="22"/>
    </row>
    <row r="125" spans="2:11" ht="15" customHeight="1" x14ac:dyDescent="0.25">
      <c r="B125" s="104"/>
      <c r="C125" s="55"/>
      <c r="D125" s="55"/>
      <c r="E125" s="25"/>
      <c r="F125" s="25"/>
      <c r="G125" s="1"/>
      <c r="H125" s="1"/>
      <c r="I125" s="1"/>
      <c r="J125" s="1"/>
      <c r="K125" s="22"/>
    </row>
    <row r="126" spans="2:11" ht="15" customHeight="1" thickBot="1" x14ac:dyDescent="0.3">
      <c r="B126" s="107"/>
      <c r="C126" s="108" t="s">
        <v>83</v>
      </c>
      <c r="D126" s="90"/>
      <c r="E126" s="109"/>
      <c r="F126" s="109"/>
      <c r="G126" s="56"/>
      <c r="H126" s="56" t="s">
        <v>1</v>
      </c>
      <c r="I126" s="91"/>
      <c r="J126" s="56"/>
      <c r="K126" s="80"/>
    </row>
    <row r="127" spans="2:11" ht="15" customHeight="1" x14ac:dyDescent="0.25">
      <c r="J127" s="89"/>
    </row>
    <row r="128" spans="2:11" ht="15" customHeight="1" x14ac:dyDescent="0.25">
      <c r="J128" s="89"/>
    </row>
    <row r="129" ht="15" customHeight="1" x14ac:dyDescent="0.25"/>
  </sheetData>
  <sheetProtection password="CA15" sheet="1" objects="1" scenarios="1" selectLockedCells="1"/>
  <mergeCells count="52">
    <mergeCell ref="C120:F120"/>
    <mergeCell ref="E117:F117"/>
    <mergeCell ref="E118:F118"/>
    <mergeCell ref="E119:F119"/>
    <mergeCell ref="H116:I116"/>
    <mergeCell ref="H117:I117"/>
    <mergeCell ref="H118:I118"/>
    <mergeCell ref="H119:I119"/>
    <mergeCell ref="H120:I120"/>
    <mergeCell ref="E116:F116"/>
    <mergeCell ref="C116:D116"/>
    <mergeCell ref="C117:D119"/>
    <mergeCell ref="G95:J95"/>
    <mergeCell ref="C100:F100"/>
    <mergeCell ref="C105:F105"/>
    <mergeCell ref="G105:J105"/>
    <mergeCell ref="C115:F115"/>
    <mergeCell ref="G115:J115"/>
    <mergeCell ref="C110:F110"/>
    <mergeCell ref="C107:D109"/>
    <mergeCell ref="C106:D106"/>
    <mergeCell ref="C97:D99"/>
    <mergeCell ref="C96:D96"/>
    <mergeCell ref="C95:F95"/>
    <mergeCell ref="H109:I109"/>
    <mergeCell ref="H110:I110"/>
    <mergeCell ref="B2:K2"/>
    <mergeCell ref="B3:K3"/>
    <mergeCell ref="B64:K64"/>
    <mergeCell ref="G85:J85"/>
    <mergeCell ref="C90:F90"/>
    <mergeCell ref="C85:F85"/>
    <mergeCell ref="C80:D80"/>
    <mergeCell ref="C81:D81"/>
    <mergeCell ref="C82:D82"/>
    <mergeCell ref="C83:D83"/>
    <mergeCell ref="C86:D86"/>
    <mergeCell ref="C87:D89"/>
    <mergeCell ref="H86:I86"/>
    <mergeCell ref="H87:I87"/>
    <mergeCell ref="H99:I99"/>
    <mergeCell ref="H100:I100"/>
    <mergeCell ref="H106:I106"/>
    <mergeCell ref="H107:I107"/>
    <mergeCell ref="H108:I108"/>
    <mergeCell ref="C71:D71"/>
    <mergeCell ref="H90:I90"/>
    <mergeCell ref="H96:I96"/>
    <mergeCell ref="H97:I97"/>
    <mergeCell ref="H98:I98"/>
    <mergeCell ref="H88:I88"/>
    <mergeCell ref="H89:I89"/>
  </mergeCells>
  <dataValidations disablePrompts="1" count="1">
    <dataValidation type="list" allowBlank="1" showInputMessage="1" showErrorMessage="1" sqref="G18">
      <formula1>Lease_Model</formula1>
    </dataValidation>
  </dataValidations>
  <printOptions gridLinesSet="0"/>
  <pageMargins left="1" right="0.99" top="1" bottom="1" header="0.5" footer="0.5"/>
  <pageSetup scale="72" fitToHeight="2" orientation="portrait" horizontalDpi="4294967292" verticalDpi="300" r:id="rId1"/>
  <headerFooter alignWithMargins="0"/>
  <ignoredErrors>
    <ignoredError sqref="G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FHC CALC KVB</vt:lpstr>
      <vt:lpstr>Lease_Model</vt:lpstr>
      <vt:lpstr>'FHC CALC KVB'!Print_Area</vt:lpstr>
      <vt:lpstr>'FHC CALC KVB'!Print_Titles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M. Brown</dc:creator>
  <cp:lastModifiedBy>Kevin M. Brown</cp:lastModifiedBy>
  <dcterms:created xsi:type="dcterms:W3CDTF">2012-08-14T18:11:17Z</dcterms:created>
  <dcterms:modified xsi:type="dcterms:W3CDTF">2018-10-26T16:31:13Z</dcterms:modified>
</cp:coreProperties>
</file>