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2" yWindow="114" windowWidth="14813" windowHeight="8013" tabRatio="802"/>
  </bookViews>
  <sheets>
    <sheet name="Read Me" sheetId="24" r:id="rId1"/>
    <sheet name="Matrix" sheetId="1" r:id="rId2"/>
    <sheet name="ZEV" sheetId="15" r:id="rId3"/>
    <sheet name="S. Bus" sheetId="14" r:id="rId4"/>
    <sheet name="U. Bus" sheetId="21" r:id="rId5"/>
    <sheet name="RNG Truck" sheetId="25" r:id="rId6"/>
    <sheet name="EV Infra" sheetId="16" r:id="rId7"/>
    <sheet name="FCEV Infra" sheetId="17" r:id="rId8"/>
    <sheet name="Carbon Farm" sheetId="19" r:id="rId9"/>
    <sheet name="U. Forests" sheetId="18" r:id="rId10"/>
    <sheet name="Energy Eff." sheetId="12" r:id="rId11"/>
    <sheet name="Solar" sheetId="11" r:id="rId12"/>
    <sheet name="Battery" sheetId="20" r:id="rId13"/>
    <sheet name="Combo" sheetId="23" r:id="rId14"/>
    <sheet name="VSR" sheetId="13" r:id="rId15"/>
  </sheets>
  <definedNames>
    <definedName name="_ftn1" localSheetId="1">Matrix!#REF!</definedName>
    <definedName name="_ftn2" localSheetId="1">Matrix!#REF!</definedName>
    <definedName name="_ftn3" localSheetId="1">Matrix!#REF!</definedName>
    <definedName name="_ftn4" localSheetId="1">Matrix!#REF!</definedName>
    <definedName name="_ftn5" localSheetId="1">Matrix!#REF!</definedName>
    <definedName name="_ftnref1" localSheetId="1">Matrix!#REF!</definedName>
    <definedName name="_ftnref2" localSheetId="1">Matrix!$I$3</definedName>
    <definedName name="_ftnref3" localSheetId="1">Matrix!#REF!</definedName>
    <definedName name="_ftnref4" localSheetId="1">Matrix!#REF!</definedName>
    <definedName name="_ftnref5" localSheetId="1">Matrix!#REF!</definedName>
    <definedName name="_ftnref6" localSheetId="1">Matrix!$I$22</definedName>
  </definedNames>
  <calcPr calcId="162913" calcMode="manual" iterate="1" iterateDelta="1.0000000000000001E-5"/>
</workbook>
</file>

<file path=xl/calcChain.xml><?xml version="1.0" encoding="utf-8"?>
<calcChain xmlns="http://schemas.openxmlformats.org/spreadsheetml/2006/main">
  <c r="J2" i="1" l="1"/>
  <c r="M11" i="1" l="1"/>
  <c r="I14" i="1" l="1"/>
  <c r="B13" i="13" l="1"/>
  <c r="B9" i="13"/>
  <c r="B23" i="23" l="1"/>
  <c r="B22" i="23"/>
  <c r="B17" i="23"/>
  <c r="B21" i="23" s="1"/>
  <c r="B18" i="23"/>
  <c r="B8" i="23"/>
  <c r="B8" i="20"/>
  <c r="B20" i="20"/>
  <c r="B26" i="20" s="1"/>
  <c r="B22" i="20"/>
  <c r="B18" i="20"/>
  <c r="B13" i="23" l="1"/>
  <c r="B19" i="11" l="1"/>
  <c r="B20" i="11" s="1"/>
  <c r="B21" i="11" s="1"/>
  <c r="B20" i="19" l="1"/>
  <c r="B19" i="19"/>
  <c r="B12" i="19"/>
  <c r="B13" i="19"/>
  <c r="B14" i="19" l="1"/>
  <c r="B16" i="19" s="1"/>
  <c r="B17" i="25" l="1"/>
  <c r="K5" i="1" l="1"/>
  <c r="I5" i="1"/>
  <c r="B5" i="25"/>
  <c r="B9" i="25" l="1"/>
  <c r="B18" i="25" s="1"/>
  <c r="B19" i="25" s="1"/>
  <c r="H5" i="1" l="1"/>
  <c r="J5" i="1" s="1"/>
  <c r="L5" i="1" s="1"/>
  <c r="M5" i="1" s="1"/>
  <c r="B24" i="20"/>
  <c r="B27" i="20" l="1"/>
  <c r="K13" i="1" l="1"/>
  <c r="B5" i="23"/>
  <c r="B9" i="23" s="1"/>
  <c r="H13" i="1" s="1"/>
  <c r="K4" i="1"/>
  <c r="G33" i="21"/>
  <c r="G34" i="21" s="1"/>
  <c r="B15" i="21" s="1"/>
  <c r="B17" i="21" s="1"/>
  <c r="I4" i="1" s="1"/>
  <c r="B5" i="21"/>
  <c r="B9" i="21" s="1"/>
  <c r="H4" i="1" s="1"/>
  <c r="J4" i="1" l="1"/>
  <c r="L4" i="1" s="1"/>
  <c r="M4" i="1" s="1"/>
  <c r="B18" i="21"/>
  <c r="B19" i="21" s="1"/>
  <c r="B16" i="11" l="1"/>
  <c r="I13" i="1" l="1"/>
  <c r="J13" i="1" s="1"/>
  <c r="L13" i="1" s="1"/>
  <c r="M13" i="1" s="1"/>
  <c r="G33" i="14"/>
  <c r="G34" i="14" s="1"/>
  <c r="B15" i="14" s="1"/>
  <c r="B17" i="14" s="1"/>
  <c r="B16" i="18"/>
  <c r="B18" i="15"/>
  <c r="B17" i="15"/>
  <c r="B13" i="17"/>
  <c r="B15" i="17" s="1"/>
  <c r="I11" i="1" l="1"/>
  <c r="K12" i="1" l="1"/>
  <c r="B5" i="20"/>
  <c r="B9" i="20" l="1"/>
  <c r="B28" i="20" s="1"/>
  <c r="B29" i="20" s="1"/>
  <c r="K10" i="1"/>
  <c r="K14" i="1"/>
  <c r="K3" i="1"/>
  <c r="K2" i="1"/>
  <c r="K6" i="1"/>
  <c r="K9" i="1"/>
  <c r="K8" i="1"/>
  <c r="H12" i="1" l="1"/>
  <c r="I12" i="1"/>
  <c r="B14" i="16"/>
  <c r="B15" i="16" s="1"/>
  <c r="J12" i="1" l="1"/>
  <c r="L12" i="1" s="1"/>
  <c r="M12" i="1" s="1"/>
  <c r="B18" i="16"/>
  <c r="I3" i="1"/>
  <c r="B5" i="19" l="1"/>
  <c r="K11" i="1" l="1"/>
  <c r="I8" i="1" l="1"/>
  <c r="K7" i="1" l="1"/>
  <c r="B5" i="11" l="1"/>
  <c r="B9" i="11" s="1"/>
  <c r="H11" i="1" l="1"/>
  <c r="E28" i="17"/>
  <c r="E29" i="17"/>
  <c r="E30" i="17"/>
  <c r="B19" i="17"/>
  <c r="B5" i="12"/>
  <c r="B9" i="12" s="1"/>
  <c r="B14" i="12" s="1"/>
  <c r="B15" i="12" s="1"/>
  <c r="B5" i="13"/>
  <c r="B14" i="13" s="1"/>
  <c r="B15" i="13" s="1"/>
  <c r="B5" i="14"/>
  <c r="B5" i="15"/>
  <c r="B9" i="15" s="1"/>
  <c r="H2" i="1" s="1"/>
  <c r="B5" i="16"/>
  <c r="B9" i="16" s="1"/>
  <c r="B5" i="17"/>
  <c r="B9" i="17" s="1"/>
  <c r="H7" i="1" s="1"/>
  <c r="B5" i="18"/>
  <c r="B9" i="18" s="1"/>
  <c r="J11" i="1" l="1"/>
  <c r="L11" i="1" s="1"/>
  <c r="B17" i="18"/>
  <c r="B18" i="18" s="1"/>
  <c r="I9" i="1"/>
  <c r="B21" i="17"/>
  <c r="B22" i="17" s="1"/>
  <c r="B23" i="17" s="1"/>
  <c r="E32" i="17"/>
  <c r="B9" i="14"/>
  <c r="B18" i="14" s="1"/>
  <c r="B19" i="14" s="1"/>
  <c r="H6" i="1"/>
  <c r="H10" i="1"/>
  <c r="B20" i="15"/>
  <c r="H3" i="1" l="1"/>
  <c r="J3" i="1" s="1"/>
  <c r="I7" i="1"/>
  <c r="B21" i="15"/>
  <c r="B22" i="15" s="1"/>
  <c r="B20" i="16"/>
  <c r="B22" i="16" s="1"/>
  <c r="B24" i="16" s="1"/>
  <c r="B25" i="16" s="1"/>
  <c r="B26" i="16" s="1"/>
  <c r="I6" i="1" l="1"/>
  <c r="I10" i="1" l="1"/>
  <c r="J8" i="1" l="1"/>
  <c r="L8" i="1" s="1"/>
  <c r="M8" i="1" s="1"/>
  <c r="J10" i="1"/>
  <c r="L10" i="1" s="1"/>
  <c r="M10" i="1" s="1"/>
  <c r="J9" i="1" l="1"/>
  <c r="L9" i="1" s="1"/>
  <c r="L3" i="1" l="1"/>
  <c r="M3" i="1" s="1"/>
  <c r="J6" i="1" l="1"/>
  <c r="M9" i="1"/>
  <c r="J14" i="1"/>
  <c r="L6" i="1" l="1"/>
  <c r="M6" i="1" s="1"/>
  <c r="L14" i="1"/>
  <c r="M14" i="1" s="1"/>
  <c r="I2" i="1"/>
  <c r="L2" i="1" l="1"/>
  <c r="M2" i="1" s="1"/>
  <c r="J7" i="1"/>
  <c r="L7" i="1" l="1"/>
  <c r="M7" i="1" s="1"/>
</calcChain>
</file>

<file path=xl/comments1.xml><?xml version="1.0" encoding="utf-8"?>
<comments xmlns="http://schemas.openxmlformats.org/spreadsheetml/2006/main">
  <authors>
    <author>Author</author>
  </authors>
  <commentList>
    <comment ref="D14" authorId="0" shapeId="0">
      <text>
        <r>
          <rPr>
            <b/>
            <sz val="9"/>
            <color indexed="81"/>
            <rFont val="Tahoma"/>
            <family val="2"/>
          </rPr>
          <t>Author:</t>
        </r>
        <r>
          <rPr>
            <sz val="9"/>
            <color indexed="81"/>
            <rFont val="Tahoma"/>
            <family val="2"/>
          </rPr>
          <t xml:space="preserve">
CA-GREET 3.0 Model available.</t>
        </r>
      </text>
    </comment>
  </commentList>
</comments>
</file>

<file path=xl/sharedStrings.xml><?xml version="1.0" encoding="utf-8"?>
<sst xmlns="http://schemas.openxmlformats.org/spreadsheetml/2006/main" count="702" uniqueCount="356">
  <si>
    <t>Type</t>
  </si>
  <si>
    <t>Description</t>
  </si>
  <si>
    <t>Benefits</t>
  </si>
  <si>
    <t>Risks/Challenges</t>
  </si>
  <si>
    <t>Resource Conservation District</t>
  </si>
  <si>
    <t>Urban Forests</t>
  </si>
  <si>
    <t>Vessel Speed Reduction</t>
  </si>
  <si>
    <t>~Criteria pollutant reductions
~Whale protection
~Scalable
~Very large source (low-hanging fruit relative to onshore sources)</t>
  </si>
  <si>
    <t>~Water needs
~Monitoring, maintenance
~Survival/replacement mechanism</t>
  </si>
  <si>
    <t>Cost
($/metric ton)</t>
  </si>
  <si>
    <t>Project Life 
(years)</t>
  </si>
  <si>
    <t>Source:</t>
  </si>
  <si>
    <t>Assumption</t>
  </si>
  <si>
    <t>Conversions:</t>
  </si>
  <si>
    <t>lbs/metric ton</t>
  </si>
  <si>
    <t>Electricity Used</t>
  </si>
  <si>
    <t>SJV's "Compost VOC Emission Factors," Sept. 15, 2010</t>
  </si>
  <si>
    <r>
      <t>tons compost/yd</t>
    </r>
    <r>
      <rPr>
        <vertAlign val="superscript"/>
        <sz val="11"/>
        <color indexed="8"/>
        <rFont val="Calibri"/>
        <family val="2"/>
        <scheme val="minor"/>
      </rPr>
      <t>3</t>
    </r>
  </si>
  <si>
    <t xml:space="preserve">Notes: </t>
  </si>
  <si>
    <t>g/lb</t>
  </si>
  <si>
    <t>EV car EF</t>
  </si>
  <si>
    <t>Treatment Options: [T = Thermostat]  [A= Roof/Attic Insulation]  [S = Air Sealing]</t>
  </si>
  <si>
    <t>EV miles saved</t>
  </si>
  <si>
    <t>kW/MW</t>
  </si>
  <si>
    <t>Region Type: Air District</t>
  </si>
  <si>
    <t>Season: Annual</t>
  </si>
  <si>
    <t>Vehicle Classification: EMFAC2011 Categories</t>
  </si>
  <si>
    <t>Region</t>
  </si>
  <si>
    <t>CalYr</t>
  </si>
  <si>
    <t>Fuel</t>
  </si>
  <si>
    <t>MdlYr</t>
  </si>
  <si>
    <t>Speed</t>
  </si>
  <si>
    <t>Population</t>
  </si>
  <si>
    <t>VMT</t>
  </si>
  <si>
    <t>Trips</t>
  </si>
  <si>
    <t>Santa Barbara County APCD</t>
  </si>
  <si>
    <t>Aggregated</t>
  </si>
  <si>
    <t>Notes:</t>
  </si>
  <si>
    <t>Typical 2017 EV car fuel economy</t>
  </si>
  <si>
    <t>ARB Urban Forest [Oct 20, 2011]</t>
  </si>
  <si>
    <t>Default Municipal EF: Vehicle + maintenance tools</t>
  </si>
  <si>
    <t>EV car fuel economy</t>
  </si>
  <si>
    <t>miles/yr-car</t>
  </si>
  <si>
    <t>Credit potential per project
(metric tons/yr)</t>
  </si>
  <si>
    <t>Building Retrofits - Energy Efficiency</t>
  </si>
  <si>
    <t>Building Retrofits - Solar</t>
  </si>
  <si>
    <t>Retrofits - Energy Efficiency</t>
  </si>
  <si>
    <t>Retrofits - Solar</t>
  </si>
  <si>
    <t>kW</t>
  </si>
  <si>
    <t>VehClass</t>
  </si>
  <si>
    <t>Units: miles/day for VMT, trips/day for Trips, tons/day for Emissions, 1000 gallons/day for Fuel Consumption</t>
  </si>
  <si>
    <t>SBUS</t>
  </si>
  <si>
    <t>DSL</t>
  </si>
  <si>
    <t>EV charger rating</t>
  </si>
  <si>
    <t>https://www.nationalcarcharging.com/products/chargepoint-ct4021</t>
  </si>
  <si>
    <t>Model CT4021</t>
  </si>
  <si>
    <t>miles/station-yr</t>
  </si>
  <si>
    <t>APCD</t>
  </si>
  <si>
    <t>MW-hr/station-yr</t>
  </si>
  <si>
    <t>miles/kW-hr</t>
  </si>
  <si>
    <t>Energy Commission Grants approach, SBCAPCD study</t>
  </si>
  <si>
    <t>Capacity Factor</t>
  </si>
  <si>
    <t>NC State Extension</t>
  </si>
  <si>
    <t>APCD Calculation</t>
  </si>
  <si>
    <t>APCD or National Marine Sanctuary or port(s)</t>
  </si>
  <si>
    <t>Estimated Admin Cost</t>
  </si>
  <si>
    <t>Project life (years)</t>
  </si>
  <si>
    <t>Total tons reduced</t>
  </si>
  <si>
    <t>CVRP assumption</t>
  </si>
  <si>
    <t>GHG Diesel</t>
  </si>
  <si>
    <t>GHG BEV</t>
  </si>
  <si>
    <t>Mitigation Paid</t>
  </si>
  <si>
    <t>Stations Funded</t>
  </si>
  <si>
    <t>gCO2e/mile</t>
  </si>
  <si>
    <t>Mirai</t>
  </si>
  <si>
    <t>kg</t>
  </si>
  <si>
    <t>range</t>
  </si>
  <si>
    <t>Honda</t>
  </si>
  <si>
    <t>Tucson</t>
  </si>
  <si>
    <t>MPGe</t>
  </si>
  <si>
    <t>http://www.fueleconomy.gov/feg/pdfs/guides/FEG2017.pdf</t>
  </si>
  <si>
    <t>http://news.honda.com/newsandviews/article.aspx?id=9432-en</t>
  </si>
  <si>
    <t>miles/kg</t>
  </si>
  <si>
    <t>http://www.hyundainews.com/us/en/models/tucson-fuel-cell/2016/specifications</t>
  </si>
  <si>
    <t>CVRP rebate for BEVs</t>
  </si>
  <si>
    <t>UBUS</t>
  </si>
  <si>
    <t>kg/metric ton</t>
  </si>
  <si>
    <t>2015 ECAP background data</t>
  </si>
  <si>
    <t>References:</t>
  </si>
  <si>
    <t>Average</t>
  </si>
  <si>
    <t>H2 Vehicle Mileage</t>
  </si>
  <si>
    <t>kg/day-station</t>
  </si>
  <si>
    <t>miles/day-station</t>
  </si>
  <si>
    <t>75% capacity &amp; 180 kg/day-station</t>
  </si>
  <si>
    <t>Car EF</t>
  </si>
  <si>
    <t>Amount Driven</t>
  </si>
  <si>
    <t>Money for Projects</t>
  </si>
  <si>
    <t>Baseline Vehicle EF</t>
  </si>
  <si>
    <t>Hydrogen Vehicle EF</t>
  </si>
  <si>
    <t>Hydrogen Dispensed</t>
  </si>
  <si>
    <t>Vehicle Efficiency</t>
  </si>
  <si>
    <t>Distance Traveled</t>
  </si>
  <si>
    <t>Number of Transits Funded</t>
  </si>
  <si>
    <t>Cost per Retrofit</t>
  </si>
  <si>
    <t>Number of Retrofits Funded</t>
  </si>
  <si>
    <t>Listed as $1,300 in the source material. Assume increased amount to be conservative</t>
  </si>
  <si>
    <t>federal credit is 30%, drops to 26% in 2020, 22% in 2021, then to 0% at the end of 2023</t>
  </si>
  <si>
    <t>MT/lifetime</t>
  </si>
  <si>
    <t>Average Estimate (58.8, rounded up)</t>
  </si>
  <si>
    <t>miles/day per school bus</t>
  </si>
  <si>
    <t>miles/year per school bus</t>
  </si>
  <si>
    <t>miles/year per urban bus</t>
  </si>
  <si>
    <t>miles/day per urban bus</t>
  </si>
  <si>
    <t>kg/tree-year</t>
  </si>
  <si>
    <t>Emissions from maintenance</t>
  </si>
  <si>
    <t>lb/tree-year</t>
  </si>
  <si>
    <t>MT/yr</t>
  </si>
  <si>
    <t>MT/year-car</t>
  </si>
  <si>
    <t>MT/year</t>
  </si>
  <si>
    <t>MT/year-station</t>
  </si>
  <si>
    <t>Methodology</t>
  </si>
  <si>
    <t>Well to Wheels - 2016 Gas</t>
  </si>
  <si>
    <t>Well to Wheels - BEV</t>
  </si>
  <si>
    <t>BEV</t>
  </si>
  <si>
    <t>382 kgCO2/MWh</t>
  </si>
  <si>
    <t>Load Following Plant</t>
  </si>
  <si>
    <t>544 kgCO2/MWh</t>
  </si>
  <si>
    <t>Peaker Plant</t>
  </si>
  <si>
    <t>524 kgCO2/MWh</t>
  </si>
  <si>
    <t>Existing (Operating Margin)</t>
  </si>
  <si>
    <t>Brand New (Build Margin)</t>
  </si>
  <si>
    <t>Peak EF</t>
  </si>
  <si>
    <t>Peak Line Loss</t>
  </si>
  <si>
    <t>kgCO2/MWhr</t>
  </si>
  <si>
    <t>Net GHG saved</t>
  </si>
  <si>
    <t>GHG avoided</t>
  </si>
  <si>
    <t>Average Project Capacity</t>
  </si>
  <si>
    <t>Battery Storage</t>
  </si>
  <si>
    <t>Incentive funding for one residential or commercial battery system that reduces peaker power plant usage.</t>
  </si>
  <si>
    <t>368 kgCO2/MWh</t>
  </si>
  <si>
    <t>Calculations assume all 10 years are "operating margin", as compared to 50-50 Operating &amp; Build margin assumed in SGIP</t>
  </si>
  <si>
    <t>Value:</t>
  </si>
  <si>
    <t>Units:</t>
  </si>
  <si>
    <t>Project Cost &amp; Size</t>
  </si>
  <si>
    <t>projects</t>
  </si>
  <si>
    <t>Calculations</t>
  </si>
  <si>
    <t>equivalent to 1/4 inch</t>
  </si>
  <si>
    <t>Residential Projects typically 3-10 kW.</t>
  </si>
  <si>
    <t>MT/year-project</t>
  </si>
  <si>
    <t>Vehicle Efficiency Calculation:</t>
  </si>
  <si>
    <t>Default Assumption</t>
  </si>
  <si>
    <t>ft</t>
  </si>
  <si>
    <t>acres</t>
  </si>
  <si>
    <t>MT/acre-yr</t>
  </si>
  <si>
    <t>CO2E reduced EF</t>
  </si>
  <si>
    <t>CO2E reduced</t>
  </si>
  <si>
    <t>Lifetime CO2E reduced</t>
  </si>
  <si>
    <t>Depth of compost application</t>
  </si>
  <si>
    <t>Acres Treated</t>
  </si>
  <si>
    <r>
      <t>ft</t>
    </r>
    <r>
      <rPr>
        <vertAlign val="superscript"/>
        <sz val="11"/>
        <color theme="1"/>
        <rFont val="Calibri"/>
        <family val="2"/>
        <scheme val="minor"/>
      </rPr>
      <t>3</t>
    </r>
    <r>
      <rPr>
        <sz val="11"/>
        <color theme="1"/>
        <rFont val="Calibri"/>
        <family val="2"/>
        <scheme val="minor"/>
      </rPr>
      <t>/yd</t>
    </r>
    <r>
      <rPr>
        <vertAlign val="superscript"/>
        <sz val="11"/>
        <color theme="1"/>
        <rFont val="Calibri"/>
        <family val="2"/>
        <scheme val="minor"/>
      </rPr>
      <t>3</t>
    </r>
  </si>
  <si>
    <t>Trees Planted</t>
  </si>
  <si>
    <t>Compost Application Rate</t>
  </si>
  <si>
    <t>trees</t>
  </si>
  <si>
    <t>Cost per Tree</t>
  </si>
  <si>
    <t>Cost per Station</t>
  </si>
  <si>
    <t>Well to Wheels - FCV</t>
  </si>
  <si>
    <t>Stations Incentivized</t>
  </si>
  <si>
    <t>MT/year-bus</t>
  </si>
  <si>
    <t>miles/year</t>
  </si>
  <si>
    <t>MT/yr-transit</t>
  </si>
  <si>
    <t>MT/yr-project</t>
  </si>
  <si>
    <t>Funding per Transit</t>
  </si>
  <si>
    <t>Potential Implementing Agency</t>
  </si>
  <si>
    <t>Estimated # of Projects</t>
  </si>
  <si>
    <t>kW per port</t>
  </si>
  <si>
    <t>Average reduction per project</t>
  </si>
  <si>
    <t>MT/year-tree</t>
  </si>
  <si>
    <t>Net CO2E EF</t>
  </si>
  <si>
    <t>station</t>
  </si>
  <si>
    <t>stations</t>
  </si>
  <si>
    <t>vehicles</t>
  </si>
  <si>
    <t>Vehicles Incentivized</t>
  </si>
  <si>
    <t>buses</t>
  </si>
  <si>
    <t>transits</t>
  </si>
  <si>
    <t>Residential = 3-10 kW, Commercial = 15-50 kW, Industrial = 500 kW;</t>
  </si>
  <si>
    <t>2015 ECAP Background Data: http://www.cecsb.org/wp-content/uploads/2016/05/GHG-reduction-potential.pdf</t>
  </si>
  <si>
    <t>National Compost Prices: http://www.recycle.cc/compostprices.pdf</t>
  </si>
  <si>
    <t>Light Duty Vehicle Hydrogen Refueling Infrastructure: http://www.energy.ca.gov/contracts/GFO-15-605/</t>
  </si>
  <si>
    <t>Project Funding: http://www.energy.ca.gov/contracts/GFO-15-605_NOPA_Revised.pdf</t>
  </si>
  <si>
    <t>California Clean Vehicle Rebate Program: https://cleanvehiclerebate.org/eng</t>
  </si>
  <si>
    <t>2016 reports - Peabody Charter School: 6.6 MW; Goleta: 8.36 MW</t>
  </si>
  <si>
    <t>ARB GHG Quantification - Appendix A</t>
  </si>
  <si>
    <t xml:space="preserve">GFO 15-605 funding formula </t>
  </si>
  <si>
    <t>$2.125 M + $300k O&amp;M</t>
  </si>
  <si>
    <t xml:space="preserve">PGE Energy Efficiency report: http://eestats.cpuc.ca.gov/EEGA2010Files/PGE/AnnualReport/PGE.AnnualNarrative.2016.3.pdf </t>
  </si>
  <si>
    <t xml:space="preserve">SCE Energy Efficiency report: http://eestats.cpuc.ca.gov/EEGA2010Files/SCE/AnnualReport/SCE.AnnualNarrative.2016.2.pdf </t>
  </si>
  <si>
    <t>Bradshaw Paper - 2010: http://efm.princeton.edu/pubs/Bradshaw_Thesis%20FINAL.pdf</t>
  </si>
  <si>
    <t>Bradshaw, Figure 3.9 (pg.64)</t>
  </si>
  <si>
    <t>Bradshaw, Figure 3.13 (pg.70)</t>
  </si>
  <si>
    <t xml:space="preserve">Federal tax credit info http://www.seia.org/research-resources/impacts-solar-investment-tax-credit-extension </t>
  </si>
  <si>
    <t>CA Solar Initiative 2016 report: http://www.cpuc.ca.gov/uploadedFiles/CPUC_Website/Content/Utilities_and_Industries/Energy/Reports_and_White_Papers/2016%20CSI%20APA%20FINAL.pdf</t>
  </si>
  <si>
    <t>Cost Effectiveness of Rooftop Solar: http://www.energy.ca.gov/2013publications/CEC-400-2013-005/CEC-400-2013-005-D.pdf</t>
  </si>
  <si>
    <t>Zero Emission Vehicle (ZEV) Rebate Program</t>
  </si>
  <si>
    <t>BEV EF</t>
  </si>
  <si>
    <t>Gas Car EF</t>
  </si>
  <si>
    <t>Gas Car emissions</t>
  </si>
  <si>
    <t>BEV emissions</t>
  </si>
  <si>
    <t>US Solar Cost Benchmark - 2016 Q1. Available at http://www.nrel.gov/docs/fy16osti/66532.pdf</t>
  </si>
  <si>
    <t>Annual Degradation Rate</t>
  </si>
  <si>
    <t>ARB GHG Quantification</t>
  </si>
  <si>
    <t>sq. ft/acre</t>
  </si>
  <si>
    <t>Equivalent GHG Emitted/Stored</t>
  </si>
  <si>
    <t>Off-peak EF</t>
  </si>
  <si>
    <t>Off-peak Line Loss</t>
  </si>
  <si>
    <t>Average Round-Trip Efficiency</t>
  </si>
  <si>
    <t>MTCO2E/kW</t>
  </si>
  <si>
    <t>In-state &amp; imported CA grid</t>
  </si>
  <si>
    <t>Electricity EF</t>
  </si>
  <si>
    <t>Assumes annual performance degradation for project life</t>
  </si>
  <si>
    <t>Average Efficiency</t>
  </si>
  <si>
    <t>Buses Incentivized</t>
  </si>
  <si>
    <t>Incentive per Project</t>
  </si>
  <si>
    <t>Number of Projects Incentivized</t>
  </si>
  <si>
    <t>Zero Emission Vehicle Rebates</t>
  </si>
  <si>
    <t>BEV Charging Infrastructure</t>
  </si>
  <si>
    <t>FCEV Infrastructure</t>
  </si>
  <si>
    <t>Note - The incentive amounts presented in this spreadsheet are not prescriptive. If any of these measures were implemented, actual incentive amounts could be higher or lower, depending on the final design of the measure.</t>
  </si>
  <si>
    <t>Total Mitigation Funds Available</t>
  </si>
  <si>
    <t xml:space="preserve">These examples assume a constant total of mitigation funds, to provide a comparison from measure to measure. </t>
  </si>
  <si>
    <t>CARB GHG Methodology - Light Duty</t>
  </si>
  <si>
    <t>CARB GHG Methodology - Heavy Duty</t>
  </si>
  <si>
    <t>CDFA Healthy Soils Program Methodology</t>
  </si>
  <si>
    <t>CSD Energy Efficiency &amp; Solar Photovoltaics Methodology</t>
  </si>
  <si>
    <t>Santa Barbara County or Cities</t>
  </si>
  <si>
    <t>CPUC Self Generation Incentive Program Methodology</t>
  </si>
  <si>
    <t>CARB Compliance Offset Protocol</t>
  </si>
  <si>
    <t>~Criteria and toxic emission reductions
~Direct health benefits
~Increased benefits as grid becomes cleaner</t>
  </si>
  <si>
    <t xml:space="preserve">~Criteria and toxic emission reductions
~Direct health benefits
</t>
  </si>
  <si>
    <t>~Ensuring good locations and accessibility
~Choosing appropriate charger levels
~Staying current as technology evolves</t>
  </si>
  <si>
    <t>~Criteria and toxic emission reductions
~Direct health benefits
~Addresses immediate need for more infrastructure</t>
  </si>
  <si>
    <t>~High cost per station
~Supporting renewable sources of hydrogen
~Convincing local dealers to offer/service vehicles</t>
  </si>
  <si>
    <t>~Removes CO2 from the atmosphere
~Reduces N2O emissions
~Improves soil health, forage, and productivity</t>
  </si>
  <si>
    <t>~Compost quality and quantity
~Monitoring and recordkeeping
~Identifying necessary funding level</t>
  </si>
  <si>
    <t>~Removes CO2 from the atmosphere
~Community enhancement, shade
~Can improve EE of buildings</t>
  </si>
  <si>
    <t>~Reduces energy use
~Can improve indoor air quality
~Healthier indoor temperatures during extreme weather</t>
  </si>
  <si>
    <t>~Increases renewable energy production
~Long project life supports ongoing benefits</t>
  </si>
  <si>
    <t>~Interest from rental housing owners
~Who is best suited to implement this?
~Total cost of retrofits</t>
  </si>
  <si>
    <t>~Interest from rental housing owners
~Who is best suited to implement this?
~identifying focus (rooftop only, or also stand-alone?)</t>
  </si>
  <si>
    <t>~Demonstration of overall fuel reductions along route
~More effective at reducing NOx compared to GHGs
~Reductions are short-term</t>
  </si>
  <si>
    <t>~Supports higher utilization of renewable energy
~Reduces demand for fossil-fueled electricity sources
~Improves electric grid reliability and flexibility</t>
  </si>
  <si>
    <t>~Who is best suited to implement this?
~Identifying focus (residential, commercial, institutional?)
~Identifying suitable projects</t>
  </si>
  <si>
    <t>Carbon Farm</t>
  </si>
  <si>
    <t>CARB GHG Quantification - Light Duty: https://www.arb.ca.gov/cc/capandtrade/auctionproceeds/arb_cbld_finalqm_16-17.pdf</t>
  </si>
  <si>
    <t>CARB Urban Forest Protocol: https://www.arb.ca.gov/regact/2010/capandtrade10/copurbanforestfin.pdf</t>
  </si>
  <si>
    <t>Carbon Farming</t>
  </si>
  <si>
    <t>Rebate per School Bus</t>
  </si>
  <si>
    <t>Rebate per Urban Bus</t>
  </si>
  <si>
    <t>Zero Emission School Buses</t>
  </si>
  <si>
    <t>Zero Emission Urban Buses</t>
  </si>
  <si>
    <t>Combo Battery + Solar</t>
  </si>
  <si>
    <t>Incentive funding for a roofstop solar installation that is connected to a battery system.</t>
  </si>
  <si>
    <t>Solar + Battery Combo</t>
  </si>
  <si>
    <t>~Increase self-consumption of power generated.
~Reduces demand for fossil-fueled electricity sources
~Assures power in the event of a grid outage.</t>
  </si>
  <si>
    <t>MTCO2E/kW-hr</t>
  </si>
  <si>
    <t>Battery Size</t>
  </si>
  <si>
    <t>kW-hrs</t>
  </si>
  <si>
    <t>Average Project Capacity - Solar</t>
  </si>
  <si>
    <t>See Battery Storage Methodology</t>
  </si>
  <si>
    <t>Solar Energy Generated</t>
  </si>
  <si>
    <t>kw-hrs per day</t>
  </si>
  <si>
    <t>In-state &amp; imported CA grid. Assume battery energy EF is treated the same as solar energy EF</t>
  </si>
  <si>
    <t>Battery Energy Storage</t>
  </si>
  <si>
    <t>Urban Bus Program</t>
  </si>
  <si>
    <t>School Bus Program</t>
  </si>
  <si>
    <t>Rebate per Vehicle</t>
  </si>
  <si>
    <t>Renewable Natural Gas Truck</t>
  </si>
  <si>
    <t>Trucks</t>
  </si>
  <si>
    <t>GHG RNG</t>
  </si>
  <si>
    <t>MT/year-vehicle</t>
  </si>
  <si>
    <t>Replace one diesel heavy duty truck with a heavy duty truck that uses renewable natural gas.</t>
  </si>
  <si>
    <t>4) A new project type for Renewable Natural Gas Trucks has been added.</t>
  </si>
  <si>
    <t>2) Added a new project "Combo" which demonstrates basic calculations for a project that uses both solar panels and an energy storage battery for a residential application.</t>
  </si>
  <si>
    <t>3) Separated the bus projects into their own individual spreadsheets. (#1 = School Bus, #2 = Urban Bus)</t>
  </si>
  <si>
    <t>Solar Project Life = 30 years; Battery Project Life = 10 years; Assume Combo life = 10 years</t>
  </si>
  <si>
    <t>Renewable Natural Gas Trucks</t>
  </si>
  <si>
    <t>Project life minimum is 3 years, but can be longer based on the length of the RNG fueling contract.</t>
  </si>
  <si>
    <t>CA-GREET Model: https://www.arb.ca.gov/fuels/lcfs/ca-greet/ca-greet.htm</t>
  </si>
  <si>
    <t>~Increase access for low and moderate income communities
~ZEVs still relatively small portion of total vehicle sales
~Determine appropriate incentive amounts</t>
  </si>
  <si>
    <t>~Charging/hydrogen infrastructure
~Staff training for maintenance/operations
~Aligning with operator's needs and budgets</t>
  </si>
  <si>
    <t>~Staff training for maintenance/operations
~Aligning with operator's needs and budgets</t>
  </si>
  <si>
    <t>1) Updated the battery calculations based on new data from the 2017 Utility Energy Storage Market Snapshot (Sept 2017).</t>
  </si>
  <si>
    <t>Quote from Engel and Gray</t>
  </si>
  <si>
    <t>/ton</t>
  </si>
  <si>
    <t>Compost cost ($/ton)</t>
  </si>
  <si>
    <t>tons/acre</t>
  </si>
  <si>
    <t>Cost to spread compost</t>
  </si>
  <si>
    <t>/acre</t>
  </si>
  <si>
    <t>Community Environmental Council</t>
  </si>
  <si>
    <t>Compost cost ($/acre)</t>
  </si>
  <si>
    <t>5) Some new assumptions have been made to the "Carbon Farm" methodology to more accurately define the costs.</t>
  </si>
  <si>
    <t>Includes transportation costs and tax</t>
  </si>
  <si>
    <t>CARB GHG Quantification - Clean Truck &amp; Bus Voucers: https://ww3.arb.ca.gov/cc/capandtrade/auctionproceeds/carb_ctbv_finalqm_17-18.pdf</t>
  </si>
  <si>
    <t>ARB GHG Quantification, Table 1</t>
  </si>
  <si>
    <t>Well to Wheels - 2017 Diesel</t>
  </si>
  <si>
    <t>CARB GHG Quantification - Healthy Soils Program:https://ww3.arb.ca.gov/cc/capandtrade/auctionproceeds/cdfa_hsp_qm_18-19.pdf</t>
  </si>
  <si>
    <t>CARB GHG Quantification - Weatherization &amp; Solar: https://ww3.arb.ca.gov/cc/capandtrade/auctionproceeds/csd_liwp_finalqm_012219.pdf</t>
  </si>
  <si>
    <t>Annual Reduction</t>
  </si>
  <si>
    <t>kW-hrs/yr</t>
  </si>
  <si>
    <t>ARB Calculator Tool</t>
  </si>
  <si>
    <t>2018 VSR Program;</t>
  </si>
  <si>
    <t>2018 VSR Brochure: https://www.ourair.org/wp-content/uploads/2018_VSR_Brochure.pdf</t>
  </si>
  <si>
    <t>PV Watts Calculator - SB</t>
  </si>
  <si>
    <t>https://pvwatts.nrel.gov/pvwatts.php</t>
  </si>
  <si>
    <t>Well to Wheels - 2017 Diesel - Medium Heavy Duty Vehicles</t>
  </si>
  <si>
    <t xml:space="preserve">CA-GREET 2.0 Model </t>
  </si>
  <si>
    <t>Well to Wheels - RNG; assumed to be LFG cleaned-up and injected into the natural gas pipeline.</t>
  </si>
  <si>
    <t>2018 VSR Program - Starcrest Calculations;</t>
  </si>
  <si>
    <t>Changes made to the GHG Matrix after the 2017-9 Workshops:</t>
  </si>
  <si>
    <t>SGIP Handbook</t>
  </si>
  <si>
    <t>Self Generation Incentive Program Handbook [April 2019], found at: https://www.selfgenca.com/</t>
  </si>
  <si>
    <t>Assumes 90% original efficiency &amp; annual performance degradation for project life</t>
  </si>
  <si>
    <t>Assumes full charge every day and discharge over the course of 2 hours.</t>
  </si>
  <si>
    <t>50% increase in solar + battery</t>
  </si>
  <si>
    <t>Residential Projects typically 3-10 kW. As compared to solar only, raised from 4 to 6 kw to generate enough power for battery storage.</t>
  </si>
  <si>
    <t>Combined Battery &amp; Solar efficiency</t>
  </si>
  <si>
    <t>EMFAC2017 (v1.0.2) Emissions Inventory</t>
  </si>
  <si>
    <t>Region: SANTA BARBARA COUNTY APCD</t>
  </si>
  <si>
    <t>Calendar Year: 2019</t>
  </si>
  <si>
    <t>EMFAC2017 (v1.0.2) - SB County 2019 data</t>
  </si>
  <si>
    <t>CARB GHG Quantification - Clean Truck &amp; Bus Vouchers: https://ww3.arb.ca.gov/cc/capandtrade/auctionproceeds/carb_ctbv_finalqm_17-18.pdf</t>
  </si>
  <si>
    <t>HVIP assumes 12,000 miles</t>
  </si>
  <si>
    <t>HVIP assumes 30,000 miles</t>
  </si>
  <si>
    <t>EV Infrastructure - Charging Program</t>
  </si>
  <si>
    <t>Fuel Cell Electric Vehicle (FCEV) Infrastructure</t>
  </si>
  <si>
    <t>Vessel Speed Reduction (VSR) Program</t>
  </si>
  <si>
    <t>1) Updated School Bus, Urban Bus, and RNG truck values (emission factors, # miles) based on updated CCI methodology and updated EMFAC miles.</t>
  </si>
  <si>
    <t>PV Watts Calculator - City of Santa Barbara</t>
  </si>
  <si>
    <t>2) Updated Solar, Battery, and Combo values (emission factors, solar generation, efficiency) based on updated CCI methodology and typical project values.</t>
  </si>
  <si>
    <t>Step 5 of SGIP- $0.25/Wh</t>
  </si>
  <si>
    <t>Higher than the default 15% to account for a fiscal sponsor and District staff time.</t>
  </si>
  <si>
    <t>Maxes out at 4,000 containership + auto carrier transits per year.</t>
  </si>
  <si>
    <t>ARB GHG Quantification - Table 2</t>
  </si>
  <si>
    <t>Credit Potential for all projects
(metric tons/yr)</t>
  </si>
  <si>
    <t>Total Credit Potential 
(metric tons/ lifetime)</t>
  </si>
  <si>
    <t>Changes made to the GHG Matrix in 2019-11:</t>
  </si>
  <si>
    <t>3) Updated VSR values (emission factor, $ per transit) based on the 2018 VSR program.</t>
  </si>
  <si>
    <t>Incentivize ocean-going vessel shipping companies to slow down, reducing fuel use.</t>
  </si>
  <si>
    <t>Incentive funding for one rooftop solar installation.</t>
  </si>
  <si>
    <t>Incentive funding for one residential retrofit to improve energy efficiency.</t>
  </si>
  <si>
    <t>Plant hundreds of trees to sequester carbon.</t>
  </si>
  <si>
    <t>Compost application on multiple acres to sequester carbon in soil .</t>
  </si>
  <si>
    <t>Fund installation of one hydrogen station for public, fleets, heavy-duty vehicles.</t>
  </si>
  <si>
    <t>Grant or voucher for one EV charging station.</t>
  </si>
  <si>
    <t>Replace one diesel urban bus with a battery electric or fuel cell electric bus.</t>
  </si>
  <si>
    <t>Replace one diesel school bus with a battery electric or fuel cell electric bus.</t>
  </si>
  <si>
    <t>Provide rebates/vouchers to purchase or lease one zero-emission vehicle.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</si>
</sst>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_);[Red]\(&quot;$&quot;#,##0\)"/>
    <numFmt numFmtId="164" formatCode="#,##0.0"/>
    <numFmt numFmtId="165" formatCode="&quot;$&quot;#,##0"/>
    <numFmt numFmtId="166" formatCode="#,##0.000"/>
    <numFmt numFmtId="167" formatCode="0.000"/>
    <numFmt numFmtId="168" formatCode="0.0"/>
    <numFmt numFmtId="169" formatCode="#,##0.0_);[Red]\(#,##0.0\)"/>
    <numFmt numFmtId="170" formatCode="#,##0.0000"/>
    <numFmt numFmtId="171" formatCode="0.0%"/>
    <numFmt numFmtId="172" formatCode="&quot;$&quot;#,##0.0"/>
  </numFmts>
  <fonts count="11" x14ac:knownFonts="1">
    <font>
      <sz val="11"/>
      <color theme="1"/>
      <name val="Calibri"/>
      <family val="2"/>
      <scheme val="minor"/>
    </font>
    <font>
      <b/>
      <sz val="11"/>
      <color theme="1"/>
      <name val="Calibri"/>
      <family val="2"/>
      <scheme val="minor"/>
    </font>
    <font>
      <vertAlign val="superscript"/>
      <sz val="11"/>
      <color indexed="8"/>
      <name val="Calibri"/>
      <family val="2"/>
      <scheme val="minor"/>
    </font>
    <font>
      <u/>
      <sz val="11"/>
      <color theme="10"/>
      <name val="Calibri"/>
      <family val="2"/>
      <scheme val="minor"/>
    </font>
    <font>
      <sz val="11"/>
      <color rgb="FF9C0006"/>
      <name val="Calibri"/>
      <family val="2"/>
      <scheme val="minor"/>
    </font>
    <font>
      <sz val="11"/>
      <name val="Calibri"/>
      <family val="2"/>
      <scheme val="minor"/>
    </font>
    <font>
      <u/>
      <sz val="11"/>
      <color theme="1"/>
      <name val="Calibri"/>
      <family val="2"/>
      <scheme val="minor"/>
    </font>
    <font>
      <b/>
      <u/>
      <sz val="11"/>
      <color theme="1"/>
      <name val="Calibri"/>
      <family val="2"/>
      <scheme val="minor"/>
    </font>
    <font>
      <vertAlign val="superscript"/>
      <sz val="11"/>
      <color theme="1"/>
      <name val="Calibri"/>
      <family val="2"/>
      <scheme val="minor"/>
    </font>
    <font>
      <sz val="9"/>
      <color indexed="81"/>
      <name val="Tahoma"/>
      <family val="2"/>
    </font>
    <font>
      <b/>
      <sz val="9"/>
      <color indexed="81"/>
      <name val="Tahoma"/>
      <family val="2"/>
    </font>
  </fonts>
  <fills count="7">
    <fill>
      <patternFill patternType="none"/>
    </fill>
    <fill>
      <patternFill patternType="gray125"/>
    </fill>
    <fill>
      <patternFill patternType="solid">
        <fgColor rgb="FFBDD6EE"/>
        <bgColor indexed="64"/>
      </patternFill>
    </fill>
    <fill>
      <patternFill patternType="solid">
        <fgColor theme="6" tint="0.39997558519241921"/>
        <bgColor indexed="64"/>
      </patternFill>
    </fill>
    <fill>
      <patternFill patternType="solid">
        <fgColor rgb="FFFFFF00"/>
        <bgColor indexed="64"/>
      </patternFill>
    </fill>
    <fill>
      <patternFill patternType="solid">
        <fgColor theme="8" tint="0.59999389629810485"/>
        <bgColor indexed="64"/>
      </patternFill>
    </fill>
    <fill>
      <patternFill patternType="solid">
        <fgColor rgb="FFFFC7CE"/>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3" fillId="0" borderId="0" applyNumberFormat="0" applyFill="0" applyBorder="0" applyAlignment="0" applyProtection="0"/>
    <xf numFmtId="0" fontId="4" fillId="6" borderId="0" applyNumberFormat="0" applyBorder="0" applyAlignment="0" applyProtection="0"/>
  </cellStyleXfs>
  <cellXfs count="93">
    <xf numFmtId="0" fontId="0" fillId="0" borderId="0" xfId="0"/>
    <xf numFmtId="0" fontId="1" fillId="0" borderId="0" xfId="0" applyFont="1"/>
    <xf numFmtId="3" fontId="0" fillId="0" borderId="0" xfId="0" applyNumberFormat="1"/>
    <xf numFmtId="0" fontId="0" fillId="3" borderId="0" xfId="0" applyFill="1"/>
    <xf numFmtId="0" fontId="0" fillId="0" borderId="0" xfId="0" applyFill="1"/>
    <xf numFmtId="0" fontId="0" fillId="0" borderId="0" xfId="0" applyFont="1"/>
    <xf numFmtId="0" fontId="0" fillId="0" borderId="0" xfId="0" applyFont="1" applyFill="1" applyAlignment="1">
      <alignment horizontal="right"/>
    </xf>
    <xf numFmtId="0" fontId="0" fillId="0" borderId="0" xfId="0" applyFont="1" applyFill="1" applyAlignment="1"/>
    <xf numFmtId="3" fontId="0" fillId="5" borderId="0" xfId="0" applyNumberFormat="1" applyFill="1"/>
    <xf numFmtId="0" fontId="0" fillId="0" borderId="0" xfId="0" applyAlignment="1">
      <alignment horizontal="left"/>
    </xf>
    <xf numFmtId="0" fontId="0" fillId="0" borderId="0" xfId="0" applyAlignment="1">
      <alignment horizontal="center"/>
    </xf>
    <xf numFmtId="0" fontId="0" fillId="0" borderId="0" xfId="0" applyFont="1" applyFill="1" applyBorder="1"/>
    <xf numFmtId="168" fontId="0" fillId="5" borderId="0" xfId="0" applyNumberFormat="1" applyFill="1"/>
    <xf numFmtId="0" fontId="0" fillId="0" borderId="0" xfId="0" applyFont="1" applyFill="1" applyBorder="1" applyAlignment="1">
      <alignment horizontal="right"/>
    </xf>
    <xf numFmtId="1" fontId="0" fillId="0" borderId="0" xfId="0" applyNumberFormat="1"/>
    <xf numFmtId="0" fontId="0" fillId="0" borderId="0" xfId="0" applyAlignment="1">
      <alignment horizontal="right"/>
    </xf>
    <xf numFmtId="3"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6" fontId="0" fillId="0" borderId="1" xfId="0" applyNumberFormat="1" applyFont="1" applyBorder="1" applyAlignment="1">
      <alignment horizontal="center" vertical="center" wrapText="1"/>
    </xf>
    <xf numFmtId="4" fontId="0" fillId="0" borderId="1" xfId="0" applyNumberFormat="1" applyFont="1" applyBorder="1" applyAlignment="1">
      <alignment horizontal="center" vertical="center" wrapText="1"/>
    </xf>
    <xf numFmtId="165" fontId="0" fillId="0" borderId="1" xfId="0" applyNumberFormat="1" applyFont="1" applyBorder="1" applyAlignment="1">
      <alignment horizontal="center" vertical="center" wrapText="1"/>
    </xf>
    <xf numFmtId="3" fontId="0" fillId="0" borderId="1" xfId="0" applyNumberFormat="1" applyBorder="1" applyAlignment="1">
      <alignment horizontal="center" vertical="center"/>
    </xf>
    <xf numFmtId="3"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3" fontId="0" fillId="0" borderId="1" xfId="0" applyNumberFormat="1" applyFill="1" applyBorder="1" applyAlignment="1">
      <alignment horizontal="center" vertical="center"/>
    </xf>
    <xf numFmtId="4" fontId="0" fillId="0" borderId="1" xfId="0" applyNumberFormat="1" applyFont="1" applyFill="1" applyBorder="1" applyAlignment="1">
      <alignment horizontal="center" vertical="center" wrapText="1"/>
    </xf>
    <xf numFmtId="164" fontId="0" fillId="0" borderId="1" xfId="0" applyNumberFormat="1" applyFont="1" applyFill="1" applyBorder="1" applyAlignment="1">
      <alignment horizontal="center" vertical="center" wrapText="1"/>
    </xf>
    <xf numFmtId="0" fontId="1" fillId="0" borderId="1" xfId="0" applyFont="1" applyBorder="1" applyAlignment="1">
      <alignment vertical="top" wrapText="1"/>
    </xf>
    <xf numFmtId="0" fontId="0" fillId="0" borderId="1" xfId="0" applyFont="1" applyBorder="1" applyAlignment="1">
      <alignment vertical="top" wrapText="1"/>
    </xf>
    <xf numFmtId="0" fontId="1" fillId="2" borderId="1" xfId="0" applyFont="1" applyFill="1" applyBorder="1" applyAlignment="1">
      <alignment horizontal="center" vertical="center" wrapText="1"/>
    </xf>
    <xf numFmtId="9" fontId="0" fillId="0" borderId="0" xfId="0" applyNumberFormat="1" applyFont="1" applyBorder="1"/>
    <xf numFmtId="165" fontId="0" fillId="0" borderId="0" xfId="0" applyNumberFormat="1" applyFont="1" applyBorder="1"/>
    <xf numFmtId="3" fontId="0" fillId="0" borderId="0" xfId="0" applyNumberFormat="1" applyFont="1" applyBorder="1"/>
    <xf numFmtId="0" fontId="0" fillId="0" borderId="0" xfId="0" applyBorder="1"/>
    <xf numFmtId="0" fontId="1" fillId="0" borderId="0" xfId="0" applyFont="1" applyFill="1"/>
    <xf numFmtId="3" fontId="0" fillId="0" borderId="0" xfId="0" applyNumberFormat="1" applyFill="1" applyBorder="1"/>
    <xf numFmtId="3" fontId="0" fillId="0" borderId="0" xfId="0" applyNumberFormat="1" applyBorder="1"/>
    <xf numFmtId="0" fontId="3" fillId="0" borderId="0" xfId="1"/>
    <xf numFmtId="170" fontId="0" fillId="0" borderId="0" xfId="0" applyNumberFormat="1"/>
    <xf numFmtId="38" fontId="0" fillId="0" borderId="0" xfId="0" applyNumberFormat="1" applyFill="1" applyBorder="1"/>
    <xf numFmtId="0" fontId="3" fillId="0" borderId="0" xfId="1" applyBorder="1"/>
    <xf numFmtId="169" fontId="0" fillId="0" borderId="0" xfId="0" applyNumberFormat="1" applyFill="1" applyBorder="1"/>
    <xf numFmtId="0" fontId="0" fillId="0" borderId="0" xfId="0" applyFill="1" applyBorder="1"/>
    <xf numFmtId="2" fontId="0" fillId="0" borderId="0" xfId="0" applyNumberFormat="1" applyFill="1"/>
    <xf numFmtId="167" fontId="0" fillId="0" borderId="0" xfId="0" applyNumberFormat="1" applyFill="1"/>
    <xf numFmtId="164" fontId="0" fillId="0" borderId="0" xfId="0" applyNumberFormat="1" applyFill="1"/>
    <xf numFmtId="3" fontId="0" fillId="0" borderId="0" xfId="0" applyNumberFormat="1" applyFill="1"/>
    <xf numFmtId="1" fontId="0" fillId="0" borderId="0" xfId="0" applyNumberFormat="1" applyFill="1"/>
    <xf numFmtId="0" fontId="3" fillId="0" borderId="0" xfId="1" applyFill="1"/>
    <xf numFmtId="0" fontId="5" fillId="0" borderId="0" xfId="1" applyFont="1" applyFill="1"/>
    <xf numFmtId="4" fontId="0" fillId="0" borderId="0" xfId="0" applyNumberFormat="1" applyFill="1"/>
    <xf numFmtId="168" fontId="0" fillId="0" borderId="0" xfId="0" applyNumberFormat="1" applyAlignment="1">
      <alignment horizontal="center"/>
    </xf>
    <xf numFmtId="168" fontId="0" fillId="0" borderId="0" xfId="0" applyNumberFormat="1" applyFont="1" applyFill="1" applyBorder="1"/>
    <xf numFmtId="9" fontId="0" fillId="0" borderId="0" xfId="0" applyNumberFormat="1" applyFill="1" applyBorder="1" applyAlignment="1">
      <alignment horizontal="right"/>
    </xf>
    <xf numFmtId="168" fontId="0" fillId="0" borderId="0" xfId="0" applyNumberFormat="1"/>
    <xf numFmtId="0" fontId="1" fillId="0" borderId="0" xfId="0" applyFont="1" applyAlignment="1">
      <alignment horizontal="center"/>
    </xf>
    <xf numFmtId="0" fontId="1" fillId="0" borderId="0" xfId="0" applyFont="1" applyAlignment="1">
      <alignment horizontal="right"/>
    </xf>
    <xf numFmtId="6" fontId="0" fillId="0" borderId="1" xfId="0" applyNumberFormat="1" applyFont="1" applyFill="1" applyBorder="1" applyAlignment="1">
      <alignment horizontal="center" vertical="center" wrapText="1"/>
    </xf>
    <xf numFmtId="1" fontId="0" fillId="0" borderId="1" xfId="0" applyNumberFormat="1" applyFont="1" applyFill="1" applyBorder="1" applyAlignment="1">
      <alignment horizontal="center" vertical="center" wrapText="1"/>
    </xf>
    <xf numFmtId="0" fontId="6" fillId="0" borderId="0" xfId="0" applyFont="1"/>
    <xf numFmtId="0" fontId="0" fillId="3" borderId="0" xfId="0" applyFont="1" applyFill="1" applyBorder="1"/>
    <xf numFmtId="0" fontId="0" fillId="3" borderId="0" xfId="0" applyFill="1" applyBorder="1"/>
    <xf numFmtId="9" fontId="0" fillId="0" borderId="0" xfId="0" applyNumberFormat="1" applyBorder="1"/>
    <xf numFmtId="165" fontId="0" fillId="0" borderId="0" xfId="0" applyNumberFormat="1" applyFont="1" applyFill="1" applyBorder="1"/>
    <xf numFmtId="165" fontId="0" fillId="4" borderId="0" xfId="0" applyNumberFormat="1" applyFill="1" applyBorder="1"/>
    <xf numFmtId="3" fontId="0" fillId="4" borderId="0" xfId="0" applyNumberFormat="1" applyFill="1" applyBorder="1"/>
    <xf numFmtId="171" fontId="0" fillId="0" borderId="0" xfId="0" applyNumberFormat="1" applyBorder="1"/>
    <xf numFmtId="168" fontId="0" fillId="0" borderId="0" xfId="0" applyNumberFormat="1" applyBorder="1"/>
    <xf numFmtId="171" fontId="0" fillId="0" borderId="0" xfId="0" applyNumberFormat="1" applyFill="1" applyBorder="1"/>
    <xf numFmtId="2" fontId="0" fillId="3" borderId="0" xfId="0" applyNumberFormat="1" applyFont="1" applyFill="1" applyBorder="1"/>
    <xf numFmtId="164" fontId="0" fillId="0" borderId="0" xfId="0" applyNumberFormat="1" applyBorder="1"/>
    <xf numFmtId="0" fontId="7" fillId="0" borderId="0" xfId="0" applyFont="1"/>
    <xf numFmtId="4" fontId="0" fillId="0" borderId="0" xfId="0" applyNumberFormat="1" applyFill="1" applyBorder="1"/>
    <xf numFmtId="4" fontId="0" fillId="0" borderId="0" xfId="0" applyNumberFormat="1" applyBorder="1"/>
    <xf numFmtId="9" fontId="0" fillId="0" borderId="0" xfId="0" applyNumberFormat="1" applyFill="1" applyBorder="1"/>
    <xf numFmtId="0" fontId="1" fillId="0" borderId="0" xfId="0" applyFont="1" applyBorder="1"/>
    <xf numFmtId="165" fontId="0" fillId="0" borderId="0" xfId="0" applyNumberFormat="1" applyBorder="1"/>
    <xf numFmtId="3" fontId="0" fillId="0" borderId="0" xfId="0" applyNumberFormat="1" applyFont="1" applyFill="1" applyBorder="1" applyAlignment="1">
      <alignment horizontal="right"/>
    </xf>
    <xf numFmtId="165" fontId="0" fillId="0" borderId="0" xfId="0" applyNumberFormat="1" applyFont="1" applyBorder="1" applyAlignment="1">
      <alignment horizontal="right"/>
    </xf>
    <xf numFmtId="3" fontId="0" fillId="0" borderId="0" xfId="0" applyNumberFormat="1" applyFont="1" applyBorder="1" applyAlignment="1">
      <alignment horizontal="right"/>
    </xf>
    <xf numFmtId="166" fontId="0" fillId="0" borderId="0" xfId="0" applyNumberFormat="1" applyFont="1" applyBorder="1" applyAlignment="1">
      <alignment horizontal="right"/>
    </xf>
    <xf numFmtId="4" fontId="0" fillId="0" borderId="0" xfId="0" applyNumberFormat="1" applyFont="1" applyBorder="1" applyAlignment="1">
      <alignment horizontal="right"/>
    </xf>
    <xf numFmtId="2" fontId="0" fillId="0" borderId="0" xfId="0" applyNumberFormat="1" applyFont="1" applyFill="1" applyBorder="1"/>
    <xf numFmtId="0" fontId="1" fillId="0" borderId="0" xfId="0" applyFont="1" applyFill="1" applyBorder="1" applyAlignment="1">
      <alignment vertical="top"/>
    </xf>
    <xf numFmtId="0" fontId="0" fillId="0" borderId="0" xfId="0" applyAlignment="1"/>
    <xf numFmtId="2" fontId="5" fillId="0" borderId="1" xfId="2" applyNumberFormat="1" applyFont="1" applyFill="1" applyBorder="1" applyAlignment="1">
      <alignment horizontal="center" vertical="center" wrapText="1"/>
    </xf>
    <xf numFmtId="2" fontId="0" fillId="0" borderId="0" xfId="0" applyNumberFormat="1" applyFill="1" applyBorder="1"/>
    <xf numFmtId="164" fontId="0" fillId="0" borderId="0" xfId="0" applyNumberFormat="1" applyFill="1" applyBorder="1"/>
    <xf numFmtId="165" fontId="0" fillId="4" borderId="0" xfId="0" applyNumberFormat="1" applyFont="1" applyFill="1" applyBorder="1" applyAlignment="1">
      <alignment horizontal="right"/>
    </xf>
    <xf numFmtId="172" fontId="0" fillId="4" borderId="0" xfId="0" applyNumberFormat="1" applyFont="1" applyFill="1" applyBorder="1" applyAlignment="1">
      <alignment horizontal="right"/>
    </xf>
    <xf numFmtId="0" fontId="0" fillId="0" borderId="0" xfId="0" applyFont="1" applyFill="1"/>
    <xf numFmtId="165" fontId="0" fillId="0" borderId="0" xfId="0" applyNumberFormat="1" applyFill="1" applyBorder="1"/>
    <xf numFmtId="164" fontId="0" fillId="0" borderId="1" xfId="0" applyNumberFormat="1" applyFont="1" applyBorder="1" applyAlignment="1">
      <alignment horizontal="center" vertical="center" wrapText="1"/>
    </xf>
  </cellXfs>
  <cellStyles count="3">
    <cellStyle name="Bad" xfId="2" builtinId="27"/>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arb.ca.gov/regact/2010/capandtrade10/copurbanforestfin.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efm.princeton.edu/pubs/Bradshaw_Thesis%20FINAL.pdf" TargetMode="External"/><Relationship Id="rId2" Type="http://schemas.openxmlformats.org/officeDocument/2006/relationships/hyperlink" Target="http://eestats.cpuc.ca.gov/EEGA2010Files/SCE/AnnualReport/SCE.AnnualNarrative.2016.2.pdf" TargetMode="External"/><Relationship Id="rId1" Type="http://schemas.openxmlformats.org/officeDocument/2006/relationships/hyperlink" Target="http://eestats.cpuc.ca.gov/EEGA2010Files/PGE/AnnualReport/PGE.AnnualNarrative.2016.3.pdf" TargetMode="External"/><Relationship Id="rId5" Type="http://schemas.openxmlformats.org/officeDocument/2006/relationships/printerSettings" Target="../printerSettings/printerSettings11.bin"/><Relationship Id="rId4" Type="http://schemas.openxmlformats.org/officeDocument/2006/relationships/hyperlink" Target="https://ww3.arb.ca.gov/cc/capandtrade/auctionproceeds/csd_liwp_finalqm_012219.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www.energy.ca.gov/2013publications/CEC-400-2013-005/CEC-400-2013-005-D.pdf" TargetMode="External"/><Relationship Id="rId2" Type="http://schemas.openxmlformats.org/officeDocument/2006/relationships/hyperlink" Target="http://www.seia.org/research-resources/impacts-solar-investment-tax-credit-extension" TargetMode="External"/><Relationship Id="rId1" Type="http://schemas.openxmlformats.org/officeDocument/2006/relationships/hyperlink" Target="http://www.cpuc.ca.gov/uploadedFiles/CPUC_Website/Content/Utilities_and_Industries/Energy/Reports_and_White_Papers/2016%20CSI%20APA%20FINAL.pdf" TargetMode="External"/><Relationship Id="rId6" Type="http://schemas.openxmlformats.org/officeDocument/2006/relationships/printerSettings" Target="../printerSettings/printerSettings12.bin"/><Relationship Id="rId5" Type="http://schemas.openxmlformats.org/officeDocument/2006/relationships/hyperlink" Target="https://pvwatts.nrel.gov/pvwatts.php" TargetMode="External"/><Relationship Id="rId4" Type="http://schemas.openxmlformats.org/officeDocument/2006/relationships/hyperlink" Target="https://ww3.arb.ca.gov/cc/capandtrade/auctionproceeds/csd_liwp_finalqm_012219.pdf"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selfgenca.com/"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www.energy.ca.gov/2013publications/CEC-400-2013-005/CEC-400-2013-005-D.pdf" TargetMode="External"/><Relationship Id="rId2" Type="http://schemas.openxmlformats.org/officeDocument/2006/relationships/hyperlink" Target="http://www.seia.org/research-resources/impacts-solar-investment-tax-credit-extension" TargetMode="External"/><Relationship Id="rId1" Type="http://schemas.openxmlformats.org/officeDocument/2006/relationships/hyperlink" Target="http://www.cpuc.ca.gov/uploadedFiles/CPUC_Website/Content/Utilities_and_Industries/Energy/Reports_and_White_Papers/2016%20CSI%20APA%20FINAL.pdf" TargetMode="External"/><Relationship Id="rId6" Type="http://schemas.openxmlformats.org/officeDocument/2006/relationships/printerSettings" Target="../printerSettings/printerSettings14.bin"/><Relationship Id="rId5" Type="http://schemas.openxmlformats.org/officeDocument/2006/relationships/hyperlink" Target="https://pvwatts.nrel.gov/pvwatts.php" TargetMode="External"/><Relationship Id="rId4" Type="http://schemas.openxmlformats.org/officeDocument/2006/relationships/hyperlink" Target="https://ww3.arb.ca.gov/cc/capandtrade/auctionproceeds/csd_liwp_finalqm_012219.pdf"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ourair.org/wp-content/uploads/2018_VSR_Brochure.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arb.ca.gov/cc/capandtrade/auctionproceeds/arb_cbld_finalqm_16-17.pdf" TargetMode="External"/><Relationship Id="rId1" Type="http://schemas.openxmlformats.org/officeDocument/2006/relationships/hyperlink" Target="https://cleanvehiclerebate.org/eng"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3.arb.ca.gov/cc/capandtrade/auctionproceeds/carb_ctbv_finalqm_17-18.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3.arb.ca.gov/cc/capandtrade/auctionproceeds/carb_ctbv_finalqm_17-18.pdf"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3.arb.ca.gov/cc/capandtrade/auctionproceeds/carb_ctbv_finalqm_17-18.pdf" TargetMode="External"/><Relationship Id="rId1" Type="http://schemas.openxmlformats.org/officeDocument/2006/relationships/hyperlink" Target="https://www.arb.ca.gov/fuels/lcfs/ca-greet/ca-greet.ht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arb.ca.gov/cc/capandtrade/auctionproceeds/arb_cbld_finalqm_16-17.pdf" TargetMode="External"/><Relationship Id="rId1" Type="http://schemas.openxmlformats.org/officeDocument/2006/relationships/hyperlink" Target="https://www.nationalcarcharging.com/products/chargepoint-ct4021"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energy.ca.gov/contracts/GFO-15-605_NOPA_Revised.pdf" TargetMode="External"/><Relationship Id="rId7" Type="http://schemas.openxmlformats.org/officeDocument/2006/relationships/printerSettings" Target="../printerSettings/printerSettings8.bin"/><Relationship Id="rId2" Type="http://schemas.openxmlformats.org/officeDocument/2006/relationships/hyperlink" Target="http://www.energy.ca.gov/contracts/GFO-15-605/" TargetMode="External"/><Relationship Id="rId1" Type="http://schemas.openxmlformats.org/officeDocument/2006/relationships/hyperlink" Target="https://www.arb.ca.gov/cc/capandtrade/auctionproceeds/arb_cbld_finalqm_16-17.pdf" TargetMode="External"/><Relationship Id="rId6" Type="http://schemas.openxmlformats.org/officeDocument/2006/relationships/hyperlink" Target="http://www.hyundainews.com/us/en/models/tucson-fuel-cell/2016/specifications" TargetMode="External"/><Relationship Id="rId5" Type="http://schemas.openxmlformats.org/officeDocument/2006/relationships/hyperlink" Target="http://news.honda.com/newsandviews/article.aspx?id=9432-en" TargetMode="External"/><Relationship Id="rId4" Type="http://schemas.openxmlformats.org/officeDocument/2006/relationships/hyperlink" Target="http://www.fueleconomy.gov/feg/pdfs/guides/FEG2017.pdf"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3.arb.ca.gov/cc/capandtrade/auctionproceeds/cdfa_hsp_qm_18-19.pdf" TargetMode="External"/><Relationship Id="rId2" Type="http://schemas.openxmlformats.org/officeDocument/2006/relationships/hyperlink" Target="http://www.cecsb.org/wp-content/uploads/2016/05/GHG-reduction-potential.pdf" TargetMode="External"/><Relationship Id="rId1" Type="http://schemas.openxmlformats.org/officeDocument/2006/relationships/hyperlink" Target="http://www.recycle.cc/compostprices.pdf"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12"/>
  <sheetViews>
    <sheetView tabSelected="1" zoomScale="115" zoomScaleNormal="115" workbookViewId="0">
      <selection activeCell="A16" sqref="A16"/>
    </sheetView>
  </sheetViews>
  <sheetFormatPr defaultRowHeight="14.3" x14ac:dyDescent="0.25"/>
  <cols>
    <col min="1" max="1" width="158" customWidth="1"/>
  </cols>
  <sheetData>
    <row r="1" spans="1:1" x14ac:dyDescent="0.25">
      <c r="A1" s="1" t="s">
        <v>344</v>
      </c>
    </row>
    <row r="2" spans="1:1" x14ac:dyDescent="0.25">
      <c r="A2" t="s">
        <v>335</v>
      </c>
    </row>
    <row r="3" spans="1:1" x14ac:dyDescent="0.25">
      <c r="A3" t="s">
        <v>337</v>
      </c>
    </row>
    <row r="4" spans="1:1" x14ac:dyDescent="0.25">
      <c r="A4" t="s">
        <v>345</v>
      </c>
    </row>
    <row r="7" spans="1:1" x14ac:dyDescent="0.25">
      <c r="A7" s="1" t="s">
        <v>317</v>
      </c>
    </row>
    <row r="8" spans="1:1" x14ac:dyDescent="0.25">
      <c r="A8" t="s">
        <v>290</v>
      </c>
    </row>
    <row r="9" spans="1:1" x14ac:dyDescent="0.25">
      <c r="A9" t="s">
        <v>281</v>
      </c>
    </row>
    <row r="10" spans="1:1" x14ac:dyDescent="0.25">
      <c r="A10" t="s">
        <v>282</v>
      </c>
    </row>
    <row r="11" spans="1:1" x14ac:dyDescent="0.25">
      <c r="A11" t="s">
        <v>280</v>
      </c>
    </row>
    <row r="12" spans="1:1" x14ac:dyDescent="0.25">
      <c r="A12" s="90" t="s">
        <v>299</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X32"/>
  <sheetViews>
    <sheetView workbookViewId="0">
      <selection activeCell="G21" sqref="G21"/>
    </sheetView>
  </sheetViews>
  <sheetFormatPr defaultRowHeight="15.15" customHeight="1" x14ac:dyDescent="0.25"/>
  <cols>
    <col min="1" max="1" width="27.7109375" customWidth="1"/>
    <col min="2" max="2" width="10.5703125" customWidth="1"/>
    <col min="3" max="3" width="15.5703125" customWidth="1"/>
    <col min="4" max="4" width="28.42578125" customWidth="1"/>
  </cols>
  <sheetData>
    <row r="1" spans="1:15" ht="15.15" customHeight="1" x14ac:dyDescent="0.25">
      <c r="A1" s="71" t="s">
        <v>5</v>
      </c>
      <c r="D1" s="1"/>
      <c r="E1" s="1"/>
      <c r="O1" s="1"/>
    </row>
    <row r="2" spans="1:15" ht="15.15" customHeight="1" x14ac:dyDescent="0.25">
      <c r="A2" s="1"/>
      <c r="B2" s="1" t="s">
        <v>141</v>
      </c>
      <c r="C2" s="1" t="s">
        <v>142</v>
      </c>
      <c r="D2" s="1" t="s">
        <v>11</v>
      </c>
      <c r="E2" s="1" t="s">
        <v>37</v>
      </c>
      <c r="O2" s="1"/>
    </row>
    <row r="3" spans="1:15" ht="15.15" customHeight="1" x14ac:dyDescent="0.25">
      <c r="A3" s="60" t="s">
        <v>71</v>
      </c>
      <c r="B3" s="31">
        <v>1000000</v>
      </c>
      <c r="D3" s="5" t="s">
        <v>150</v>
      </c>
    </row>
    <row r="4" spans="1:15" ht="15.15" customHeight="1" x14ac:dyDescent="0.25">
      <c r="A4" s="61" t="s">
        <v>65</v>
      </c>
      <c r="B4" s="62">
        <v>0.15</v>
      </c>
    </row>
    <row r="5" spans="1:15" ht="15.15" customHeight="1" x14ac:dyDescent="0.25">
      <c r="A5" s="60" t="s">
        <v>96</v>
      </c>
      <c r="B5" s="31">
        <f>B3*(1-B4)</f>
        <v>850000</v>
      </c>
      <c r="C5" s="4"/>
    </row>
    <row r="6" spans="1:15" ht="15.15" customHeight="1" x14ac:dyDescent="0.25">
      <c r="A6" s="11"/>
      <c r="B6" s="31"/>
      <c r="C6" s="4"/>
    </row>
    <row r="7" spans="1:15" ht="15.15" customHeight="1" x14ac:dyDescent="0.25">
      <c r="A7" s="71" t="s">
        <v>143</v>
      </c>
      <c r="B7" s="31"/>
      <c r="C7" s="4"/>
    </row>
    <row r="8" spans="1:15" ht="15.15" customHeight="1" x14ac:dyDescent="0.25">
      <c r="A8" s="60" t="s">
        <v>163</v>
      </c>
      <c r="B8" s="64">
        <v>100</v>
      </c>
      <c r="C8" s="4"/>
      <c r="D8" s="5" t="s">
        <v>12</v>
      </c>
    </row>
    <row r="9" spans="1:15" ht="15.15" customHeight="1" x14ac:dyDescent="0.25">
      <c r="A9" s="60" t="s">
        <v>160</v>
      </c>
      <c r="B9" s="36">
        <f>B5/B8</f>
        <v>8500</v>
      </c>
      <c r="C9" s="4" t="s">
        <v>162</v>
      </c>
    </row>
    <row r="10" spans="1:15" ht="15.15" customHeight="1" x14ac:dyDescent="0.25">
      <c r="A10" s="69" t="s">
        <v>66</v>
      </c>
      <c r="B10" s="42">
        <v>25</v>
      </c>
      <c r="C10" s="4"/>
      <c r="D10" s="4" t="s">
        <v>39</v>
      </c>
    </row>
    <row r="12" spans="1:15" ht="15.15" customHeight="1" x14ac:dyDescent="0.25">
      <c r="A12" s="71" t="s">
        <v>145</v>
      </c>
    </row>
    <row r="13" spans="1:15" ht="15.15" customHeight="1" x14ac:dyDescent="0.25">
      <c r="A13" s="69" t="s">
        <v>154</v>
      </c>
      <c r="B13" s="36">
        <v>48</v>
      </c>
      <c r="C13" t="s">
        <v>115</v>
      </c>
      <c r="D13" s="4" t="s">
        <v>62</v>
      </c>
    </row>
    <row r="14" spans="1:15" ht="15.15" customHeight="1" x14ac:dyDescent="0.25">
      <c r="A14" s="60" t="s">
        <v>114</v>
      </c>
      <c r="B14" s="73">
        <v>4.17</v>
      </c>
      <c r="C14" t="s">
        <v>113</v>
      </c>
      <c r="D14" s="4" t="s">
        <v>39</v>
      </c>
      <c r="E14" t="s">
        <v>40</v>
      </c>
    </row>
    <row r="15" spans="1:15" ht="15.15" customHeight="1" x14ac:dyDescent="0.25">
      <c r="A15" s="11"/>
      <c r="B15" s="73"/>
      <c r="D15" s="4"/>
    </row>
    <row r="16" spans="1:15" ht="15.15" customHeight="1" x14ac:dyDescent="0.25">
      <c r="A16" s="69" t="s">
        <v>177</v>
      </c>
      <c r="B16" s="73">
        <f>(B13/B22)-(B14/B23)</f>
        <v>1.7602459652910706E-2</v>
      </c>
      <c r="C16" s="33" t="s">
        <v>176</v>
      </c>
      <c r="D16" s="4"/>
    </row>
    <row r="17" spans="1:24" ht="15.15" customHeight="1" x14ac:dyDescent="0.25">
      <c r="A17" s="69" t="s">
        <v>155</v>
      </c>
      <c r="B17" s="14">
        <f>B16*B9</f>
        <v>149.62090704974099</v>
      </c>
      <c r="C17" s="4" t="s">
        <v>118</v>
      </c>
    </row>
    <row r="18" spans="1:24" ht="15.15" customHeight="1" x14ac:dyDescent="0.25">
      <c r="A18" s="69" t="s">
        <v>156</v>
      </c>
      <c r="B18" s="36">
        <f>B17*B10</f>
        <v>3740.522676243525</v>
      </c>
      <c r="C18" s="4" t="s">
        <v>107</v>
      </c>
    </row>
    <row r="19" spans="1:24" ht="15.15" customHeight="1" x14ac:dyDescent="0.25">
      <c r="C19" s="4"/>
    </row>
    <row r="20" spans="1:24" ht="15.15" customHeight="1" x14ac:dyDescent="0.25">
      <c r="C20" s="4"/>
    </row>
    <row r="21" spans="1:24" ht="15.15" customHeight="1" x14ac:dyDescent="0.25">
      <c r="B21" s="1" t="s">
        <v>13</v>
      </c>
      <c r="C21" s="4"/>
    </row>
    <row r="22" spans="1:24" ht="15.15" customHeight="1" x14ac:dyDescent="0.25">
      <c r="B22">
        <v>2204.62</v>
      </c>
      <c r="C22" t="s">
        <v>14</v>
      </c>
    </row>
    <row r="23" spans="1:24" ht="15.15" customHeight="1" x14ac:dyDescent="0.25">
      <c r="B23" s="77">
        <v>1000</v>
      </c>
      <c r="C23" s="11" t="s">
        <v>86</v>
      </c>
    </row>
    <row r="24" spans="1:24" ht="15.15" customHeight="1" x14ac:dyDescent="0.25">
      <c r="A24" s="13"/>
      <c r="B24" s="11"/>
    </row>
    <row r="25" spans="1:24" ht="15.15" customHeight="1" x14ac:dyDescent="0.25">
      <c r="A25" s="13"/>
      <c r="B25" s="11"/>
    </row>
    <row r="26" spans="1:24" ht="15.15" customHeight="1" x14ac:dyDescent="0.25">
      <c r="A26" s="1" t="s">
        <v>88</v>
      </c>
    </row>
    <row r="27" spans="1:24" ht="15.15" customHeight="1" x14ac:dyDescent="0.25">
      <c r="A27" s="37" t="s">
        <v>253</v>
      </c>
    </row>
    <row r="28" spans="1:24" ht="15.15" customHeight="1" x14ac:dyDescent="0.25">
      <c r="A28" s="37"/>
    </row>
    <row r="29" spans="1:24" ht="15.15" customHeight="1" x14ac:dyDescent="0.25">
      <c r="A29" s="37"/>
    </row>
    <row r="30" spans="1:24" ht="15.15" customHeight="1" x14ac:dyDescent="0.25">
      <c r="A30" s="37"/>
      <c r="V30" s="2"/>
      <c r="W30" s="2"/>
      <c r="X30" s="2"/>
    </row>
    <row r="31" spans="1:24" ht="15.15" customHeight="1" x14ac:dyDescent="0.25">
      <c r="A31" s="37"/>
      <c r="W31" s="2"/>
      <c r="X31" s="2"/>
    </row>
    <row r="32" spans="1:24" ht="15.15" customHeight="1" x14ac:dyDescent="0.25">
      <c r="X32" s="2"/>
    </row>
  </sheetData>
  <hyperlinks>
    <hyperlink ref="A27" r:id="rId1" display="https://www.arb.ca.gov/regact/2010/capandtrade10/copurbanforestfin.pdf"/>
  </hyperlinks>
  <pageMargins left="0.7" right="0.7" top="0.75" bottom="0.75" header="0.3" footer="0.3"/>
  <pageSetup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O24"/>
  <sheetViews>
    <sheetView workbookViewId="0">
      <selection activeCell="A20" sqref="A20"/>
    </sheetView>
  </sheetViews>
  <sheetFormatPr defaultRowHeight="15.15" customHeight="1" x14ac:dyDescent="0.25"/>
  <cols>
    <col min="1" max="1" width="27.7109375" customWidth="1"/>
    <col min="2" max="2" width="10.5703125" customWidth="1"/>
    <col min="3" max="3" width="15.5703125" customWidth="1"/>
    <col min="4" max="4" width="25.7109375" customWidth="1"/>
  </cols>
  <sheetData>
    <row r="1" spans="1:15" ht="15.15" customHeight="1" x14ac:dyDescent="0.25">
      <c r="A1" s="71" t="s">
        <v>46</v>
      </c>
      <c r="O1" s="1"/>
    </row>
    <row r="2" spans="1:15" ht="15.15" customHeight="1" x14ac:dyDescent="0.25">
      <c r="B2" s="1" t="s">
        <v>141</v>
      </c>
      <c r="C2" s="1" t="s">
        <v>142</v>
      </c>
      <c r="D2" s="1" t="s">
        <v>11</v>
      </c>
      <c r="E2" s="1" t="s">
        <v>18</v>
      </c>
    </row>
    <row r="3" spans="1:15" ht="15.15" customHeight="1" x14ac:dyDescent="0.25">
      <c r="A3" s="60" t="s">
        <v>71</v>
      </c>
      <c r="B3" s="31">
        <v>1000000</v>
      </c>
      <c r="C3" s="33"/>
      <c r="D3" s="5" t="s">
        <v>150</v>
      </c>
    </row>
    <row r="4" spans="1:15" ht="15.15" customHeight="1" x14ac:dyDescent="0.25">
      <c r="A4" s="61" t="s">
        <v>65</v>
      </c>
      <c r="B4" s="62">
        <v>0.15</v>
      </c>
      <c r="C4" s="33"/>
    </row>
    <row r="5" spans="1:15" ht="15.15" customHeight="1" x14ac:dyDescent="0.25">
      <c r="A5" s="60" t="s">
        <v>96</v>
      </c>
      <c r="B5" s="31">
        <f>B3*(1-B4)</f>
        <v>850000</v>
      </c>
      <c r="C5" s="33"/>
    </row>
    <row r="6" spans="1:15" ht="15.15" customHeight="1" x14ac:dyDescent="0.25">
      <c r="A6" s="11"/>
      <c r="B6" s="31"/>
      <c r="C6" s="33"/>
    </row>
    <row r="7" spans="1:15" ht="15.15" customHeight="1" x14ac:dyDescent="0.25">
      <c r="A7" s="71" t="s">
        <v>143</v>
      </c>
      <c r="B7" s="31"/>
      <c r="C7" s="33"/>
    </row>
    <row r="8" spans="1:15" ht="15.15" customHeight="1" x14ac:dyDescent="0.25">
      <c r="A8" s="60" t="s">
        <v>103</v>
      </c>
      <c r="B8" s="64">
        <v>1500</v>
      </c>
      <c r="C8" s="33"/>
      <c r="D8" t="s">
        <v>197</v>
      </c>
      <c r="E8" t="s">
        <v>105</v>
      </c>
    </row>
    <row r="9" spans="1:15" ht="15.15" customHeight="1" x14ac:dyDescent="0.25">
      <c r="A9" s="60" t="s">
        <v>104</v>
      </c>
      <c r="B9" s="36">
        <f>B5/B8</f>
        <v>566.66666666666663</v>
      </c>
      <c r="C9" s="33" t="s">
        <v>144</v>
      </c>
    </row>
    <row r="10" spans="1:15" ht="15.15" customHeight="1" x14ac:dyDescent="0.25">
      <c r="A10" s="69" t="s">
        <v>66</v>
      </c>
      <c r="B10" s="42">
        <v>15</v>
      </c>
      <c r="C10" s="33"/>
    </row>
    <row r="11" spans="1:15" ht="15.15" customHeight="1" x14ac:dyDescent="0.25">
      <c r="A11" s="11"/>
      <c r="B11" s="31"/>
      <c r="C11" s="33"/>
    </row>
    <row r="12" spans="1:15" ht="15.15" customHeight="1" x14ac:dyDescent="0.25">
      <c r="A12" s="71" t="s">
        <v>145</v>
      </c>
    </row>
    <row r="13" spans="1:15" ht="15.15" customHeight="1" x14ac:dyDescent="0.25">
      <c r="A13" s="61" t="s">
        <v>175</v>
      </c>
      <c r="B13" s="72">
        <v>0.96</v>
      </c>
      <c r="C13" s="33" t="s">
        <v>170</v>
      </c>
      <c r="D13" t="s">
        <v>198</v>
      </c>
      <c r="E13" s="9" t="s">
        <v>21</v>
      </c>
    </row>
    <row r="14" spans="1:15" ht="15.15" customHeight="1" x14ac:dyDescent="0.25">
      <c r="A14" s="69" t="s">
        <v>155</v>
      </c>
      <c r="B14" s="36">
        <f>B9*B13</f>
        <v>544</v>
      </c>
      <c r="C14" s="33" t="s">
        <v>116</v>
      </c>
    </row>
    <row r="15" spans="1:15" ht="15.15" customHeight="1" x14ac:dyDescent="0.25">
      <c r="A15" s="69" t="s">
        <v>67</v>
      </c>
      <c r="B15" s="36">
        <f>B10*B14</f>
        <v>8160</v>
      </c>
      <c r="C15" s="33" t="s">
        <v>107</v>
      </c>
    </row>
    <row r="18" spans="1:1" ht="15.15" customHeight="1" x14ac:dyDescent="0.25">
      <c r="A18" s="1" t="s">
        <v>88</v>
      </c>
    </row>
    <row r="19" spans="1:1" ht="15.15" customHeight="1" x14ac:dyDescent="0.25">
      <c r="A19" s="37" t="s">
        <v>196</v>
      </c>
    </row>
    <row r="20" spans="1:1" ht="15.15" customHeight="1" x14ac:dyDescent="0.25">
      <c r="A20" s="37" t="s">
        <v>305</v>
      </c>
    </row>
    <row r="21" spans="1:1" ht="15.15" customHeight="1" x14ac:dyDescent="0.25">
      <c r="A21" s="37" t="s">
        <v>194</v>
      </c>
    </row>
    <row r="22" spans="1:1" ht="15.15" customHeight="1" x14ac:dyDescent="0.25">
      <c r="A22" s="37" t="s">
        <v>195</v>
      </c>
    </row>
    <row r="24" spans="1:1" ht="15.15" customHeight="1" x14ac:dyDescent="0.25">
      <c r="A24" s="40"/>
    </row>
  </sheetData>
  <hyperlinks>
    <hyperlink ref="A21" r:id="rId1" display="http://eestats.cpuc.ca.gov/EEGA2010Files/PGE/AnnualReport/PGE.AnnualNarrative.2016.3.pdf "/>
    <hyperlink ref="A22" r:id="rId2" display="http://eestats.cpuc.ca.gov/EEGA2010Files/SCE/AnnualReport/SCE.AnnualNarrative.2016.2.pdf "/>
    <hyperlink ref="A19" r:id="rId3" display="http://efm.princeton.edu/pubs/Bradshaw_Thesis%20FINAL.pdf"/>
    <hyperlink ref="A20" r:id="rId4"/>
  </hyperlinks>
  <pageMargins left="0.7" right="0.7" top="0.75" bottom="0.75" header="0.3" footer="0.3"/>
  <pageSetup orientation="portrait"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O31"/>
  <sheetViews>
    <sheetView workbookViewId="0">
      <selection activeCell="B21" sqref="B21"/>
    </sheetView>
  </sheetViews>
  <sheetFormatPr defaultRowHeight="15.15" customHeight="1" x14ac:dyDescent="0.25"/>
  <cols>
    <col min="1" max="1" width="30.7109375" customWidth="1"/>
    <col min="2" max="2" width="10.5703125" customWidth="1"/>
    <col min="3" max="3" width="16.5703125" customWidth="1"/>
    <col min="4" max="4" width="39" customWidth="1"/>
    <col min="5" max="5" width="15.5703125" customWidth="1"/>
  </cols>
  <sheetData>
    <row r="1" spans="1:15" ht="15.15" customHeight="1" x14ac:dyDescent="0.25">
      <c r="A1" s="71" t="s">
        <v>47</v>
      </c>
      <c r="O1" s="1"/>
    </row>
    <row r="2" spans="1:15" ht="15.15" customHeight="1" x14ac:dyDescent="0.25">
      <c r="A2" s="1"/>
      <c r="B2" s="1" t="s">
        <v>141</v>
      </c>
      <c r="C2" s="1" t="s">
        <v>142</v>
      </c>
      <c r="D2" s="1" t="s">
        <v>11</v>
      </c>
      <c r="E2" s="1" t="s">
        <v>18</v>
      </c>
      <c r="O2" s="1"/>
    </row>
    <row r="3" spans="1:15" ht="15.15" customHeight="1" x14ac:dyDescent="0.25">
      <c r="A3" s="60" t="s">
        <v>71</v>
      </c>
      <c r="B3" s="31">
        <v>1000000</v>
      </c>
      <c r="C3" s="33"/>
      <c r="D3" s="5" t="s">
        <v>150</v>
      </c>
    </row>
    <row r="4" spans="1:15" ht="15.15" customHeight="1" x14ac:dyDescent="0.25">
      <c r="A4" s="61" t="s">
        <v>65</v>
      </c>
      <c r="B4" s="62">
        <v>0.15</v>
      </c>
      <c r="C4" s="33"/>
    </row>
    <row r="5" spans="1:15" ht="15.15" customHeight="1" x14ac:dyDescent="0.25">
      <c r="A5" s="60" t="s">
        <v>96</v>
      </c>
      <c r="B5" s="31">
        <f>B3*(1-B4)</f>
        <v>850000</v>
      </c>
      <c r="C5" s="33"/>
      <c r="I5" s="38"/>
    </row>
    <row r="6" spans="1:15" ht="15.15" customHeight="1" x14ac:dyDescent="0.25">
      <c r="A6" s="11"/>
      <c r="B6" s="31"/>
      <c r="C6" s="33"/>
      <c r="I6" s="38"/>
    </row>
    <row r="7" spans="1:15" ht="15.15" customHeight="1" x14ac:dyDescent="0.25">
      <c r="A7" s="71" t="s">
        <v>143</v>
      </c>
      <c r="B7" s="31"/>
      <c r="C7" s="33"/>
      <c r="I7" s="38"/>
    </row>
    <row r="8" spans="1:15" ht="15.15" customHeight="1" x14ac:dyDescent="0.25">
      <c r="A8" s="60" t="s">
        <v>221</v>
      </c>
      <c r="B8" s="64">
        <v>1500</v>
      </c>
      <c r="C8" s="33"/>
    </row>
    <row r="9" spans="1:15" ht="15.15" customHeight="1" x14ac:dyDescent="0.25">
      <c r="A9" s="60" t="s">
        <v>222</v>
      </c>
      <c r="B9" s="36">
        <f>B5/B8</f>
        <v>566.66666666666663</v>
      </c>
      <c r="C9" t="s">
        <v>144</v>
      </c>
    </row>
    <row r="10" spans="1:15" ht="15.15" customHeight="1" x14ac:dyDescent="0.25">
      <c r="A10" s="69" t="s">
        <v>66</v>
      </c>
      <c r="B10" s="42">
        <v>30</v>
      </c>
      <c r="D10" s="4" t="s">
        <v>209</v>
      </c>
    </row>
    <row r="11" spans="1:15" ht="15.15" customHeight="1" x14ac:dyDescent="0.25">
      <c r="A11" s="11"/>
      <c r="B11" s="36"/>
      <c r="C11" s="33"/>
    </row>
    <row r="12" spans="1:15" ht="15.15" customHeight="1" x14ac:dyDescent="0.25">
      <c r="A12" s="71" t="s">
        <v>145</v>
      </c>
    </row>
    <row r="13" spans="1:15" ht="15.15" customHeight="1" x14ac:dyDescent="0.25">
      <c r="A13" s="60" t="s">
        <v>136</v>
      </c>
      <c r="B13" s="35">
        <v>4</v>
      </c>
      <c r="C13" t="s">
        <v>48</v>
      </c>
      <c r="E13" t="s">
        <v>147</v>
      </c>
    </row>
    <row r="14" spans="1:15" ht="15.15" customHeight="1" x14ac:dyDescent="0.25">
      <c r="A14" s="60" t="s">
        <v>306</v>
      </c>
      <c r="B14" s="65">
        <v>6565</v>
      </c>
      <c r="C14" t="s">
        <v>307</v>
      </c>
      <c r="D14" s="4" t="s">
        <v>336</v>
      </c>
      <c r="E14" s="37" t="s">
        <v>312</v>
      </c>
    </row>
    <row r="15" spans="1:15" ht="15.15" customHeight="1" x14ac:dyDescent="0.25">
      <c r="A15" s="60" t="s">
        <v>208</v>
      </c>
      <c r="B15" s="68">
        <v>5.0000000000000001E-3</v>
      </c>
      <c r="D15" s="4" t="s">
        <v>209</v>
      </c>
    </row>
    <row r="16" spans="1:15" ht="15.15" customHeight="1" x14ac:dyDescent="0.25">
      <c r="A16" s="60" t="s">
        <v>219</v>
      </c>
      <c r="B16" s="68">
        <f>1-B15*B10/2</f>
        <v>0.92500000000000004</v>
      </c>
      <c r="D16" s="4"/>
      <c r="E16" t="s">
        <v>218</v>
      </c>
    </row>
    <row r="17" spans="1:5" ht="15.15" customHeight="1" x14ac:dyDescent="0.25">
      <c r="A17" s="60" t="s">
        <v>217</v>
      </c>
      <c r="B17">
        <v>2.3699999999999999E-4</v>
      </c>
      <c r="C17" t="s">
        <v>263</v>
      </c>
      <c r="D17" s="4" t="s">
        <v>308</v>
      </c>
      <c r="E17" t="s">
        <v>216</v>
      </c>
    </row>
    <row r="18" spans="1:5" ht="15.15" customHeight="1" x14ac:dyDescent="0.25">
      <c r="A18" s="71"/>
    </row>
    <row r="19" spans="1:5" ht="15.15" customHeight="1" x14ac:dyDescent="0.25">
      <c r="A19" s="61" t="s">
        <v>175</v>
      </c>
      <c r="B19" s="73">
        <f>B14*B16*B17</f>
        <v>1.4392121249999998</v>
      </c>
      <c r="C19" s="33" t="s">
        <v>148</v>
      </c>
    </row>
    <row r="20" spans="1:5" ht="15.15" customHeight="1" x14ac:dyDescent="0.25">
      <c r="A20" s="69" t="s">
        <v>155</v>
      </c>
      <c r="B20" s="36">
        <f>B19*B9</f>
        <v>815.55353749999983</v>
      </c>
      <c r="C20" s="33" t="s">
        <v>118</v>
      </c>
    </row>
    <row r="21" spans="1:5" ht="15.15" customHeight="1" x14ac:dyDescent="0.25">
      <c r="A21" s="69" t="s">
        <v>67</v>
      </c>
      <c r="B21" s="36">
        <f>B20*B10</f>
        <v>24466.606124999995</v>
      </c>
      <c r="C21" s="33" t="s">
        <v>107</v>
      </c>
    </row>
    <row r="24" spans="1:5" ht="15.15" customHeight="1" x14ac:dyDescent="0.25">
      <c r="A24" s="37"/>
    </row>
    <row r="25" spans="1:5" ht="15.15" customHeight="1" x14ac:dyDescent="0.25">
      <c r="A25" s="1" t="s">
        <v>88</v>
      </c>
    </row>
    <row r="26" spans="1:5" ht="15.15" customHeight="1" x14ac:dyDescent="0.25">
      <c r="A26" s="37" t="s">
        <v>305</v>
      </c>
    </row>
    <row r="27" spans="1:5" ht="15.15" customHeight="1" x14ac:dyDescent="0.25">
      <c r="A27" t="s">
        <v>207</v>
      </c>
    </row>
    <row r="28" spans="1:5" ht="15.15" customHeight="1" x14ac:dyDescent="0.25">
      <c r="A28" s="37" t="s">
        <v>201</v>
      </c>
    </row>
    <row r="29" spans="1:5" ht="15.15" customHeight="1" x14ac:dyDescent="0.25">
      <c r="A29" s="37" t="s">
        <v>200</v>
      </c>
    </row>
    <row r="30" spans="1:5" ht="15.15" customHeight="1" x14ac:dyDescent="0.25">
      <c r="A30" s="37" t="s">
        <v>199</v>
      </c>
    </row>
    <row r="31" spans="1:5" ht="15.15" customHeight="1" x14ac:dyDescent="0.25">
      <c r="B31" t="s">
        <v>106</v>
      </c>
    </row>
  </sheetData>
  <hyperlinks>
    <hyperlink ref="A29" r:id="rId1" display="http://www.cpuc.ca.gov/uploadedFiles/CPUC_Website/Content/Utilities_and_Industries/Energy/Reports_and_White_Papers/2016%20CSI%20APA%20FINAL.pdf"/>
    <hyperlink ref="A30" r:id="rId2" display="http://www.seia.org/research-resources/impacts-solar-investment-tax-credit-extension "/>
    <hyperlink ref="A28" r:id="rId3" display="http://www.energy.ca.gov/2013publications/CEC-400-2013-005/CEC-400-2013-005-D.pdf"/>
    <hyperlink ref="A26" r:id="rId4"/>
    <hyperlink ref="E14" r:id="rId5"/>
  </hyperlinks>
  <pageMargins left="0.7" right="0.7" top="0.75" bottom="0.75" header="0.3" footer="0.3"/>
  <pageSetup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O46"/>
  <sheetViews>
    <sheetView workbookViewId="0">
      <selection activeCell="A25" sqref="A25:P25"/>
    </sheetView>
  </sheetViews>
  <sheetFormatPr defaultRowHeight="15.15" customHeight="1" x14ac:dyDescent="0.25"/>
  <cols>
    <col min="1" max="1" width="30.7109375" customWidth="1"/>
    <col min="2" max="2" width="10.5703125" customWidth="1"/>
    <col min="3" max="3" width="15.5703125" customWidth="1"/>
    <col min="4" max="4" width="23.5703125" customWidth="1"/>
    <col min="5" max="5" width="15.5703125" customWidth="1"/>
  </cols>
  <sheetData>
    <row r="1" spans="1:15" ht="15.15" customHeight="1" x14ac:dyDescent="0.25">
      <c r="A1" s="71" t="s">
        <v>137</v>
      </c>
    </row>
    <row r="2" spans="1:15" ht="15.15" customHeight="1" x14ac:dyDescent="0.25">
      <c r="B2" s="1" t="s">
        <v>141</v>
      </c>
      <c r="C2" s="1" t="s">
        <v>142</v>
      </c>
      <c r="D2" s="1" t="s">
        <v>11</v>
      </c>
      <c r="E2" s="1" t="s">
        <v>18</v>
      </c>
      <c r="O2" s="1"/>
    </row>
    <row r="3" spans="1:15" ht="15.15" customHeight="1" x14ac:dyDescent="0.25">
      <c r="A3" s="60" t="s">
        <v>71</v>
      </c>
      <c r="B3" s="31">
        <v>1000000</v>
      </c>
      <c r="D3" s="5" t="s">
        <v>150</v>
      </c>
    </row>
    <row r="4" spans="1:15" ht="15.15" customHeight="1" x14ac:dyDescent="0.25">
      <c r="A4" s="61" t="s">
        <v>65</v>
      </c>
      <c r="B4" s="62">
        <v>0.15</v>
      </c>
    </row>
    <row r="5" spans="1:15" ht="15.15" customHeight="1" x14ac:dyDescent="0.25">
      <c r="A5" s="60" t="s">
        <v>96</v>
      </c>
      <c r="B5" s="31">
        <f>B3*(1-B4)</f>
        <v>850000</v>
      </c>
      <c r="I5" s="38"/>
    </row>
    <row r="6" spans="1:15" ht="15.15" customHeight="1" x14ac:dyDescent="0.25">
      <c r="A6" s="11"/>
      <c r="B6" s="63"/>
      <c r="I6" s="38"/>
    </row>
    <row r="7" spans="1:15" ht="15.15" customHeight="1" x14ac:dyDescent="0.25">
      <c r="A7" s="71" t="s">
        <v>143</v>
      </c>
      <c r="B7" s="63"/>
      <c r="I7" s="38"/>
    </row>
    <row r="8" spans="1:15" ht="15.15" customHeight="1" x14ac:dyDescent="0.25">
      <c r="A8" s="60" t="s">
        <v>221</v>
      </c>
      <c r="B8" s="91">
        <f>B14*365*0.25</f>
        <v>1095</v>
      </c>
      <c r="E8" t="s">
        <v>338</v>
      </c>
    </row>
    <row r="9" spans="1:15" ht="15.15" customHeight="1" x14ac:dyDescent="0.25">
      <c r="A9" s="60" t="s">
        <v>222</v>
      </c>
      <c r="B9" s="36">
        <f>B5/B8</f>
        <v>776.25570776255711</v>
      </c>
      <c r="C9" t="s">
        <v>144</v>
      </c>
    </row>
    <row r="10" spans="1:15" ht="15.15" customHeight="1" x14ac:dyDescent="0.25">
      <c r="A10" s="69" t="s">
        <v>66</v>
      </c>
      <c r="B10" s="42">
        <v>10</v>
      </c>
      <c r="E10" t="s">
        <v>140</v>
      </c>
    </row>
    <row r="11" spans="1:15" ht="15.15" customHeight="1" x14ac:dyDescent="0.25">
      <c r="A11" s="11"/>
      <c r="B11" s="35"/>
    </row>
    <row r="12" spans="1:15" ht="15.15" customHeight="1" x14ac:dyDescent="0.25">
      <c r="A12" s="71" t="s">
        <v>145</v>
      </c>
      <c r="B12" s="35"/>
    </row>
    <row r="13" spans="1:15" ht="15.15" customHeight="1" x14ac:dyDescent="0.25">
      <c r="A13" s="60" t="s">
        <v>264</v>
      </c>
      <c r="B13" s="65">
        <v>6</v>
      </c>
      <c r="C13" t="s">
        <v>48</v>
      </c>
      <c r="E13" t="s">
        <v>184</v>
      </c>
    </row>
    <row r="14" spans="1:15" ht="15.15" customHeight="1" x14ac:dyDescent="0.25">
      <c r="A14" s="60" t="s">
        <v>271</v>
      </c>
      <c r="B14" s="35">
        <v>12</v>
      </c>
      <c r="C14" t="s">
        <v>265</v>
      </c>
      <c r="E14" t="s">
        <v>321</v>
      </c>
    </row>
    <row r="15" spans="1:15" ht="15.15" customHeight="1" x14ac:dyDescent="0.25">
      <c r="A15" s="60" t="s">
        <v>208</v>
      </c>
      <c r="B15" s="74">
        <v>0.01</v>
      </c>
      <c r="D15" t="s">
        <v>318</v>
      </c>
    </row>
    <row r="16" spans="1:15" ht="15.15" customHeight="1" x14ac:dyDescent="0.25">
      <c r="A16" s="60" t="s">
        <v>214</v>
      </c>
      <c r="B16" s="62">
        <v>0.85</v>
      </c>
      <c r="E16" t="s">
        <v>320</v>
      </c>
    </row>
    <row r="17" spans="1:4" ht="15.15" customHeight="1" x14ac:dyDescent="0.25">
      <c r="A17" s="71"/>
      <c r="B17" s="35"/>
    </row>
    <row r="18" spans="1:4" ht="15.15" customHeight="1" x14ac:dyDescent="0.25">
      <c r="A18" s="60" t="s">
        <v>212</v>
      </c>
      <c r="B18" s="36">
        <f>(382+368)/2</f>
        <v>375</v>
      </c>
      <c r="C18" t="s">
        <v>133</v>
      </c>
      <c r="D18" t="s">
        <v>318</v>
      </c>
    </row>
    <row r="19" spans="1:4" ht="15.15" customHeight="1" x14ac:dyDescent="0.25">
      <c r="A19" s="60" t="s">
        <v>213</v>
      </c>
      <c r="B19" s="66">
        <v>5.2999999999999999E-2</v>
      </c>
    </row>
    <row r="20" spans="1:4" ht="15.15" customHeight="1" x14ac:dyDescent="0.25">
      <c r="A20" s="60" t="s">
        <v>211</v>
      </c>
      <c r="B20" s="67">
        <f>B18/(1-B19)/B16</f>
        <v>465.86744518293062</v>
      </c>
      <c r="C20" t="s">
        <v>133</v>
      </c>
    </row>
    <row r="21" spans="1:4" ht="15.15" customHeight="1" x14ac:dyDescent="0.25">
      <c r="A21" s="11"/>
      <c r="B21" s="68"/>
    </row>
    <row r="22" spans="1:4" ht="15.15" customHeight="1" x14ac:dyDescent="0.25">
      <c r="A22" s="60" t="s">
        <v>131</v>
      </c>
      <c r="B22" s="36">
        <f>(544+524)/2</f>
        <v>534</v>
      </c>
      <c r="C22" t="s">
        <v>133</v>
      </c>
      <c r="D22" t="s">
        <v>318</v>
      </c>
    </row>
    <row r="23" spans="1:4" ht="15.15" customHeight="1" x14ac:dyDescent="0.25">
      <c r="A23" s="60" t="s">
        <v>132</v>
      </c>
      <c r="B23" s="66">
        <v>0.10299999999999999</v>
      </c>
    </row>
    <row r="24" spans="1:4" ht="15.15" customHeight="1" x14ac:dyDescent="0.25">
      <c r="A24" s="60" t="s">
        <v>135</v>
      </c>
      <c r="B24" s="67">
        <f>B22/(1-B23)</f>
        <v>595.3177257525083</v>
      </c>
      <c r="C24" t="s">
        <v>133</v>
      </c>
    </row>
    <row r="26" spans="1:4" ht="15.15" customHeight="1" x14ac:dyDescent="0.25">
      <c r="A26" s="60" t="s">
        <v>134</v>
      </c>
      <c r="B26" s="67">
        <f>B24-B20</f>
        <v>129.45028056957767</v>
      </c>
      <c r="C26" t="s">
        <v>133</v>
      </c>
    </row>
    <row r="27" spans="1:4" ht="15.15" customHeight="1" x14ac:dyDescent="0.25">
      <c r="A27" s="61" t="s">
        <v>175</v>
      </c>
      <c r="B27" s="70">
        <f>(B14/B33)*B26/B34*365</f>
        <v>0.56699222889475021</v>
      </c>
      <c r="C27" t="s">
        <v>148</v>
      </c>
    </row>
    <row r="28" spans="1:4" ht="15.15" customHeight="1" x14ac:dyDescent="0.25">
      <c r="A28" s="69" t="s">
        <v>155</v>
      </c>
      <c r="B28" s="36">
        <f>B27*B9</f>
        <v>440.13095393656408</v>
      </c>
      <c r="C28" t="s">
        <v>118</v>
      </c>
    </row>
    <row r="29" spans="1:4" ht="15.15" customHeight="1" x14ac:dyDescent="0.25">
      <c r="A29" s="69" t="s">
        <v>67</v>
      </c>
      <c r="B29" s="36">
        <f>B10*B28</f>
        <v>4401.3095393656404</v>
      </c>
      <c r="C29" t="s">
        <v>107</v>
      </c>
    </row>
    <row r="32" spans="1:4" ht="15.15" customHeight="1" x14ac:dyDescent="0.25">
      <c r="B32" s="1" t="s">
        <v>13</v>
      </c>
    </row>
    <row r="33" spans="1:8" ht="15.15" customHeight="1" x14ac:dyDescent="0.25">
      <c r="B33" s="2">
        <v>1000</v>
      </c>
      <c r="C33" t="s">
        <v>23</v>
      </c>
    </row>
    <row r="34" spans="1:8" ht="15.15" customHeight="1" x14ac:dyDescent="0.25">
      <c r="B34" s="2">
        <v>1000</v>
      </c>
      <c r="C34" s="11" t="s">
        <v>86</v>
      </c>
    </row>
    <row r="35" spans="1:8" ht="15.15" customHeight="1" x14ac:dyDescent="0.25">
      <c r="A35" s="37"/>
      <c r="H35" s="54"/>
    </row>
    <row r="36" spans="1:8" ht="15.15" customHeight="1" x14ac:dyDescent="0.25">
      <c r="H36" s="54"/>
    </row>
    <row r="37" spans="1:8" ht="15.15" customHeight="1" x14ac:dyDescent="0.25">
      <c r="A37" s="1" t="s">
        <v>88</v>
      </c>
      <c r="B37" s="37"/>
      <c r="H37" s="54"/>
    </row>
    <row r="38" spans="1:8" ht="15.15" customHeight="1" x14ac:dyDescent="0.25">
      <c r="A38" s="37" t="s">
        <v>319</v>
      </c>
      <c r="H38" s="54"/>
    </row>
    <row r="39" spans="1:8" ht="15.15" customHeight="1" x14ac:dyDescent="0.25">
      <c r="H39" s="54"/>
    </row>
    <row r="40" spans="1:8" ht="15.15" customHeight="1" x14ac:dyDescent="0.25">
      <c r="A40" s="59" t="s">
        <v>129</v>
      </c>
      <c r="H40" s="54"/>
    </row>
    <row r="41" spans="1:8" ht="15.15" customHeight="1" x14ac:dyDescent="0.25">
      <c r="A41" t="s">
        <v>125</v>
      </c>
      <c r="B41" t="s">
        <v>124</v>
      </c>
      <c r="H41" s="54"/>
    </row>
    <row r="42" spans="1:8" ht="15.15" customHeight="1" x14ac:dyDescent="0.25">
      <c r="A42" t="s">
        <v>127</v>
      </c>
      <c r="B42" t="s">
        <v>126</v>
      </c>
      <c r="H42" s="54"/>
    </row>
    <row r="43" spans="1:8" ht="15.15" customHeight="1" x14ac:dyDescent="0.25">
      <c r="H43" s="54"/>
    </row>
    <row r="44" spans="1:8" ht="15.15" customHeight="1" x14ac:dyDescent="0.25">
      <c r="A44" s="59" t="s">
        <v>130</v>
      </c>
      <c r="H44" s="54"/>
    </row>
    <row r="45" spans="1:8" ht="15.15" customHeight="1" x14ac:dyDescent="0.25">
      <c r="A45" t="s">
        <v>125</v>
      </c>
      <c r="B45" t="s">
        <v>139</v>
      </c>
      <c r="H45" s="54"/>
    </row>
    <row r="46" spans="1:8" ht="15.15" customHeight="1" x14ac:dyDescent="0.25">
      <c r="A46" t="s">
        <v>127</v>
      </c>
      <c r="B46" t="s">
        <v>128</v>
      </c>
    </row>
  </sheetData>
  <hyperlinks>
    <hyperlink ref="A38" r:id="rId1"/>
  </hyperlinks>
  <pageMargins left="0.7" right="0.7" top="0.75" bottom="0.75" header="0.3" footer="0.3"/>
  <pageSetup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O33"/>
  <sheetViews>
    <sheetView workbookViewId="0">
      <selection activeCell="B8" sqref="B8"/>
    </sheetView>
  </sheetViews>
  <sheetFormatPr defaultRowHeight="15.15" customHeight="1" x14ac:dyDescent="0.25"/>
  <cols>
    <col min="1" max="1" width="30.7109375" customWidth="1"/>
    <col min="2" max="2" width="10.5703125" customWidth="1"/>
    <col min="3" max="3" width="16.5703125" customWidth="1"/>
    <col min="4" max="4" width="23.5703125" customWidth="1"/>
    <col min="5" max="5" width="15.5703125" customWidth="1"/>
  </cols>
  <sheetData>
    <row r="1" spans="1:15" ht="15.15" customHeight="1" x14ac:dyDescent="0.25">
      <c r="A1" s="71" t="s">
        <v>261</v>
      </c>
      <c r="O1" s="1"/>
    </row>
    <row r="2" spans="1:15" ht="15.15" customHeight="1" x14ac:dyDescent="0.25">
      <c r="A2" s="1"/>
      <c r="B2" s="1" t="s">
        <v>141</v>
      </c>
      <c r="C2" s="1" t="s">
        <v>142</v>
      </c>
      <c r="D2" s="1" t="s">
        <v>11</v>
      </c>
      <c r="E2" s="1" t="s">
        <v>18</v>
      </c>
      <c r="O2" s="1"/>
    </row>
    <row r="3" spans="1:15" ht="15.15" customHeight="1" x14ac:dyDescent="0.25">
      <c r="A3" s="60" t="s">
        <v>71</v>
      </c>
      <c r="B3" s="31">
        <v>1000000</v>
      </c>
      <c r="C3" s="33"/>
      <c r="D3" s="5" t="s">
        <v>150</v>
      </c>
    </row>
    <row r="4" spans="1:15" ht="15.15" customHeight="1" x14ac:dyDescent="0.25">
      <c r="A4" s="61" t="s">
        <v>65</v>
      </c>
      <c r="B4" s="62">
        <v>0.15</v>
      </c>
      <c r="C4" s="33"/>
    </row>
    <row r="5" spans="1:15" ht="15.15" customHeight="1" x14ac:dyDescent="0.25">
      <c r="A5" s="60" t="s">
        <v>96</v>
      </c>
      <c r="B5" s="31">
        <f>B3*(1-B4)</f>
        <v>850000</v>
      </c>
      <c r="C5" s="33"/>
      <c r="I5" s="38"/>
    </row>
    <row r="6" spans="1:15" ht="15.15" customHeight="1" x14ac:dyDescent="0.25">
      <c r="A6" s="11"/>
      <c r="B6" s="31"/>
      <c r="C6" s="33"/>
      <c r="I6" s="38"/>
    </row>
    <row r="7" spans="1:15" ht="15.15" customHeight="1" x14ac:dyDescent="0.25">
      <c r="A7" s="71" t="s">
        <v>143</v>
      </c>
      <c r="B7" s="31"/>
      <c r="C7" s="33"/>
      <c r="I7" s="38"/>
    </row>
    <row r="8" spans="1:15" ht="15.15" customHeight="1" x14ac:dyDescent="0.25">
      <c r="A8" s="60" t="s">
        <v>221</v>
      </c>
      <c r="B8" s="91">
        <f>Solar!B8*1.5+Battery!B8</f>
        <v>3345</v>
      </c>
      <c r="C8" s="33"/>
      <c r="E8" t="s">
        <v>322</v>
      </c>
    </row>
    <row r="9" spans="1:15" ht="15.15" customHeight="1" x14ac:dyDescent="0.25">
      <c r="A9" s="60" t="s">
        <v>222</v>
      </c>
      <c r="B9" s="36">
        <f>B5/B8</f>
        <v>254.11061285500747</v>
      </c>
      <c r="C9" t="s">
        <v>144</v>
      </c>
    </row>
    <row r="10" spans="1:15" ht="15.15" customHeight="1" x14ac:dyDescent="0.25">
      <c r="A10" s="69" t="s">
        <v>66</v>
      </c>
      <c r="B10" s="42">
        <v>10</v>
      </c>
      <c r="D10" s="4" t="s">
        <v>209</v>
      </c>
      <c r="E10" t="s">
        <v>283</v>
      </c>
    </row>
    <row r="11" spans="1:15" ht="15.15" customHeight="1" x14ac:dyDescent="0.25">
      <c r="A11" s="11"/>
      <c r="B11" s="36"/>
      <c r="C11" s="33"/>
    </row>
    <row r="12" spans="1:15" ht="15.15" customHeight="1" x14ac:dyDescent="0.25">
      <c r="A12" s="71" t="s">
        <v>145</v>
      </c>
    </row>
    <row r="13" spans="1:15" ht="15.15" customHeight="1" x14ac:dyDescent="0.25">
      <c r="A13" s="60" t="s">
        <v>271</v>
      </c>
      <c r="B13" s="35">
        <f>Battery!B14</f>
        <v>12</v>
      </c>
      <c r="C13" t="s">
        <v>265</v>
      </c>
      <c r="D13" t="s">
        <v>267</v>
      </c>
    </row>
    <row r="14" spans="1:15" ht="15.15" customHeight="1" x14ac:dyDescent="0.25">
      <c r="A14" s="71"/>
    </row>
    <row r="15" spans="1:15" ht="15.15" customHeight="1" x14ac:dyDescent="0.25">
      <c r="A15" s="60" t="s">
        <v>266</v>
      </c>
      <c r="B15" s="35">
        <v>6</v>
      </c>
      <c r="C15" t="s">
        <v>48</v>
      </c>
      <c r="E15" t="s">
        <v>323</v>
      </c>
    </row>
    <row r="16" spans="1:15" ht="15.15" customHeight="1" x14ac:dyDescent="0.25">
      <c r="A16" s="60" t="s">
        <v>306</v>
      </c>
      <c r="B16" s="65">
        <v>9847</v>
      </c>
      <c r="C16" t="s">
        <v>307</v>
      </c>
      <c r="D16" s="4" t="s">
        <v>311</v>
      </c>
      <c r="E16" s="37" t="s">
        <v>312</v>
      </c>
    </row>
    <row r="17" spans="1:5" ht="15.15" customHeight="1" x14ac:dyDescent="0.25">
      <c r="A17" s="60" t="s">
        <v>268</v>
      </c>
      <c r="B17" s="54">
        <f>B16/365</f>
        <v>26.978082191780821</v>
      </c>
      <c r="C17" t="s">
        <v>269</v>
      </c>
      <c r="D17" s="4"/>
      <c r="E17" s="37"/>
    </row>
    <row r="18" spans="1:5" ht="15.15" customHeight="1" x14ac:dyDescent="0.25">
      <c r="A18" s="60" t="s">
        <v>219</v>
      </c>
      <c r="B18" s="68">
        <f>(2*Solar!B16+Battery!B16)/3</f>
        <v>0.9</v>
      </c>
      <c r="D18" s="4"/>
      <c r="E18" t="s">
        <v>324</v>
      </c>
    </row>
    <row r="19" spans="1:5" ht="15.15" customHeight="1" x14ac:dyDescent="0.25">
      <c r="A19" s="11"/>
      <c r="B19" s="4"/>
      <c r="C19" s="4"/>
      <c r="D19" s="4"/>
    </row>
    <row r="20" spans="1:5" ht="15.15" customHeight="1" x14ac:dyDescent="0.25">
      <c r="A20" s="60" t="s">
        <v>217</v>
      </c>
      <c r="B20">
        <v>2.3699999999999999E-4</v>
      </c>
      <c r="C20" t="s">
        <v>215</v>
      </c>
      <c r="D20" s="4" t="s">
        <v>308</v>
      </c>
      <c r="E20" t="s">
        <v>270</v>
      </c>
    </row>
    <row r="21" spans="1:5" ht="15.15" customHeight="1" x14ac:dyDescent="0.25">
      <c r="A21" s="61" t="s">
        <v>175</v>
      </c>
      <c r="B21" s="73">
        <f>B17*B20*365*B18</f>
        <v>2.1003650999999999</v>
      </c>
      <c r="C21" s="33" t="s">
        <v>148</v>
      </c>
    </row>
    <row r="22" spans="1:5" ht="15.15" customHeight="1" x14ac:dyDescent="0.25">
      <c r="A22" s="69" t="s">
        <v>155</v>
      </c>
      <c r="B22" s="36">
        <f>B21*B9</f>
        <v>533.72506278026901</v>
      </c>
      <c r="C22" s="33" t="s">
        <v>118</v>
      </c>
    </row>
    <row r="23" spans="1:5" ht="15.15" customHeight="1" x14ac:dyDescent="0.25">
      <c r="A23" s="69" t="s">
        <v>67</v>
      </c>
      <c r="B23" s="36">
        <f>B22*B10</f>
        <v>5337.2506278026904</v>
      </c>
      <c r="C23" s="33" t="s">
        <v>107</v>
      </c>
    </row>
    <row r="26" spans="1:5" ht="15.15" customHeight="1" x14ac:dyDescent="0.25">
      <c r="A26" s="37"/>
    </row>
    <row r="27" spans="1:5" ht="15.15" customHeight="1" x14ac:dyDescent="0.25">
      <c r="A27" s="1" t="s">
        <v>88</v>
      </c>
    </row>
    <row r="28" spans="1:5" ht="15.15" customHeight="1" x14ac:dyDescent="0.25">
      <c r="A28" s="37" t="s">
        <v>305</v>
      </c>
    </row>
    <row r="29" spans="1:5" ht="15.15" customHeight="1" x14ac:dyDescent="0.25">
      <c r="A29" t="s">
        <v>207</v>
      </c>
    </row>
    <row r="30" spans="1:5" ht="15.15" customHeight="1" x14ac:dyDescent="0.25">
      <c r="A30" s="37" t="s">
        <v>201</v>
      </c>
    </row>
    <row r="31" spans="1:5" ht="15.15" customHeight="1" x14ac:dyDescent="0.25">
      <c r="A31" s="37" t="s">
        <v>200</v>
      </c>
    </row>
    <row r="32" spans="1:5" ht="15.15" customHeight="1" x14ac:dyDescent="0.25">
      <c r="A32" s="37" t="s">
        <v>199</v>
      </c>
    </row>
    <row r="33" spans="2:2" ht="15.15" customHeight="1" x14ac:dyDescent="0.25">
      <c r="B33" t="s">
        <v>106</v>
      </c>
    </row>
  </sheetData>
  <hyperlinks>
    <hyperlink ref="A31" r:id="rId1" display="http://www.cpuc.ca.gov/uploadedFiles/CPUC_Website/Content/Utilities_and_Industries/Energy/Reports_and_White_Papers/2016%20CSI%20APA%20FINAL.pdf"/>
    <hyperlink ref="A32" r:id="rId2" display="http://www.seia.org/research-resources/impacts-solar-investment-tax-credit-extension "/>
    <hyperlink ref="A30" r:id="rId3" display="http://www.energy.ca.gov/2013publications/CEC-400-2013-005/CEC-400-2013-005-D.pdf"/>
    <hyperlink ref="A28" r:id="rId4"/>
    <hyperlink ref="E16" r:id="rId5"/>
  </hyperlinks>
  <pageMargins left="0.7" right="0.7" top="0.75" bottom="0.75" header="0.3" footer="0.3"/>
  <pageSetup orientation="portrait" r:id="rId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E19"/>
  <sheetViews>
    <sheetView workbookViewId="0">
      <selection activeCell="I23" sqref="I23"/>
    </sheetView>
  </sheetViews>
  <sheetFormatPr defaultRowHeight="15.15" customHeight="1" x14ac:dyDescent="0.25"/>
  <cols>
    <col min="1" max="1" width="27.7109375" customWidth="1"/>
    <col min="2" max="2" width="10.5703125" customWidth="1"/>
    <col min="3" max="3" width="15.5703125" customWidth="1"/>
    <col min="4" max="4" width="30.7109375" customWidth="1"/>
  </cols>
  <sheetData>
    <row r="1" spans="1:5" ht="15.15" customHeight="1" x14ac:dyDescent="0.25">
      <c r="A1" s="71" t="s">
        <v>334</v>
      </c>
    </row>
    <row r="2" spans="1:5" ht="15.15" customHeight="1" x14ac:dyDescent="0.25">
      <c r="A2" s="1"/>
      <c r="B2" s="1" t="s">
        <v>141</v>
      </c>
      <c r="C2" s="1" t="s">
        <v>142</v>
      </c>
      <c r="D2" s="1" t="s">
        <v>11</v>
      </c>
      <c r="E2" s="1" t="s">
        <v>37</v>
      </c>
    </row>
    <row r="3" spans="1:5" ht="15.15" customHeight="1" x14ac:dyDescent="0.25">
      <c r="A3" s="60" t="s">
        <v>71</v>
      </c>
      <c r="B3" s="31">
        <v>1000000</v>
      </c>
      <c r="D3" s="5" t="s">
        <v>150</v>
      </c>
    </row>
    <row r="4" spans="1:5" ht="15.15" customHeight="1" x14ac:dyDescent="0.25">
      <c r="A4" s="61" t="s">
        <v>65</v>
      </c>
      <c r="B4" s="62">
        <v>0.25</v>
      </c>
      <c r="E4" t="s">
        <v>339</v>
      </c>
    </row>
    <row r="5" spans="1:5" ht="15.15" customHeight="1" x14ac:dyDescent="0.25">
      <c r="A5" s="60" t="s">
        <v>96</v>
      </c>
      <c r="B5" s="31">
        <f>B3*(1-B4)</f>
        <v>750000</v>
      </c>
    </row>
    <row r="7" spans="1:5" ht="15.15" customHeight="1" x14ac:dyDescent="0.25">
      <c r="A7" s="71" t="s">
        <v>143</v>
      </c>
    </row>
    <row r="8" spans="1:5" ht="15.15" customHeight="1" x14ac:dyDescent="0.25">
      <c r="A8" s="61" t="s">
        <v>171</v>
      </c>
      <c r="B8" s="64">
        <v>750</v>
      </c>
      <c r="D8" s="5" t="s">
        <v>309</v>
      </c>
    </row>
    <row r="9" spans="1:5" ht="15.15" customHeight="1" x14ac:dyDescent="0.25">
      <c r="A9" s="60" t="s">
        <v>102</v>
      </c>
      <c r="B9" s="36">
        <f>B5/B8</f>
        <v>1000</v>
      </c>
      <c r="C9" t="s">
        <v>183</v>
      </c>
      <c r="E9" t="s">
        <v>340</v>
      </c>
    </row>
    <row r="10" spans="1:5" ht="15.15" customHeight="1" x14ac:dyDescent="0.25">
      <c r="A10" s="69" t="s">
        <v>66</v>
      </c>
      <c r="B10" s="36">
        <v>1</v>
      </c>
    </row>
    <row r="12" spans="1:5" ht="15.15" customHeight="1" x14ac:dyDescent="0.25">
      <c r="A12" s="71" t="s">
        <v>145</v>
      </c>
      <c r="D12" s="1"/>
      <c r="E12" s="1"/>
    </row>
    <row r="13" spans="1:5" ht="15.15" customHeight="1" x14ac:dyDescent="0.25">
      <c r="A13" s="61" t="s">
        <v>175</v>
      </c>
      <c r="B13" s="36">
        <f>6812/563</f>
        <v>12.099467140319716</v>
      </c>
      <c r="C13" t="s">
        <v>169</v>
      </c>
      <c r="D13" s="5" t="s">
        <v>316</v>
      </c>
    </row>
    <row r="14" spans="1:5" ht="15.15" customHeight="1" x14ac:dyDescent="0.25">
      <c r="A14" s="69" t="s">
        <v>155</v>
      </c>
      <c r="B14" s="36">
        <f>B9*B13</f>
        <v>12099.467140319715</v>
      </c>
      <c r="C14" t="s">
        <v>116</v>
      </c>
    </row>
    <row r="15" spans="1:5" ht="15.15" customHeight="1" x14ac:dyDescent="0.25">
      <c r="A15" s="69" t="s">
        <v>67</v>
      </c>
      <c r="B15" s="36">
        <f>B14*B10</f>
        <v>12099.467140319715</v>
      </c>
      <c r="C15" t="s">
        <v>107</v>
      </c>
    </row>
    <row r="18" spans="1:1" ht="15.15" customHeight="1" x14ac:dyDescent="0.25">
      <c r="A18" s="1" t="s">
        <v>88</v>
      </c>
    </row>
    <row r="19" spans="1:1" ht="15.15" customHeight="1" x14ac:dyDescent="0.25">
      <c r="A19" s="37" t="s">
        <v>310</v>
      </c>
    </row>
  </sheetData>
  <hyperlinks>
    <hyperlink ref="A19"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M25"/>
  <sheetViews>
    <sheetView zoomScaleNormal="100" workbookViewId="0">
      <pane xSplit="1" ySplit="1" topLeftCell="B2" activePane="bottomRight" state="frozen"/>
      <selection pane="topRight" activeCell="B1" sqref="B1"/>
      <selection pane="bottomLeft" activeCell="A2" sqref="A2"/>
      <selection pane="bottomRight" activeCell="B3" sqref="B3"/>
    </sheetView>
  </sheetViews>
  <sheetFormatPr defaultRowHeight="14.3" x14ac:dyDescent="0.25"/>
  <cols>
    <col min="1" max="1" width="17.5703125" customWidth="1"/>
    <col min="2" max="2" width="24" customWidth="1"/>
    <col min="3" max="3" width="14" customWidth="1"/>
    <col min="4" max="4" width="17.42578125" customWidth="1"/>
    <col min="5" max="5" width="32.42578125" customWidth="1"/>
    <col min="6" max="6" width="43.85546875" customWidth="1"/>
    <col min="7" max="7" width="13.140625" customWidth="1"/>
    <col min="8" max="8" width="11.85546875" customWidth="1"/>
    <col min="9" max="9" width="15.5703125" customWidth="1"/>
    <col min="10" max="10" width="15.140625" bestFit="1" customWidth="1"/>
    <col min="11" max="11" width="11.42578125" customWidth="1"/>
    <col min="12" max="12" width="15.28515625" bestFit="1" customWidth="1"/>
    <col min="13" max="13" width="13.7109375" customWidth="1"/>
  </cols>
  <sheetData>
    <row r="1" spans="1:13" ht="57.75" thickBot="1" x14ac:dyDescent="0.3">
      <c r="A1" s="29" t="s">
        <v>0</v>
      </c>
      <c r="B1" s="29" t="s">
        <v>1</v>
      </c>
      <c r="C1" s="29" t="s">
        <v>172</v>
      </c>
      <c r="D1" s="29" t="s">
        <v>120</v>
      </c>
      <c r="E1" s="29" t="s">
        <v>2</v>
      </c>
      <c r="F1" s="29" t="s">
        <v>3</v>
      </c>
      <c r="G1" s="29" t="s">
        <v>227</v>
      </c>
      <c r="H1" s="29" t="s">
        <v>173</v>
      </c>
      <c r="I1" s="29" t="s">
        <v>43</v>
      </c>
      <c r="J1" s="29" t="s">
        <v>342</v>
      </c>
      <c r="K1" s="29" t="s">
        <v>10</v>
      </c>
      <c r="L1" s="29" t="s">
        <v>343</v>
      </c>
      <c r="M1" s="29" t="s">
        <v>9</v>
      </c>
    </row>
    <row r="2" spans="1:13" ht="78.8" customHeight="1" thickBot="1" x14ac:dyDescent="0.3">
      <c r="A2" s="27" t="s">
        <v>223</v>
      </c>
      <c r="B2" s="28" t="s">
        <v>355</v>
      </c>
      <c r="C2" s="28" t="s">
        <v>57</v>
      </c>
      <c r="D2" s="28" t="s">
        <v>229</v>
      </c>
      <c r="E2" s="28" t="s">
        <v>236</v>
      </c>
      <c r="F2" s="28" t="s">
        <v>287</v>
      </c>
      <c r="G2" s="57">
        <v>1000000</v>
      </c>
      <c r="H2" s="22">
        <f>ZEV!B9</f>
        <v>340</v>
      </c>
      <c r="I2" s="26">
        <f>ZEV!B20</f>
        <v>2.8974579999999999</v>
      </c>
      <c r="J2" s="22">
        <f t="shared" ref="J2:J14" si="0">I2*H2</f>
        <v>985.13571999999999</v>
      </c>
      <c r="K2" s="22">
        <f>ZEV!B10</f>
        <v>15</v>
      </c>
      <c r="L2" s="21">
        <f t="shared" ref="L2:L14" si="1">K2*J2</f>
        <v>14777.0358</v>
      </c>
      <c r="M2" s="20">
        <f>G2/Matrix!L2</f>
        <v>67.672570705959856</v>
      </c>
    </row>
    <row r="3" spans="1:13" ht="48.85" customHeight="1" thickBot="1" x14ac:dyDescent="0.3">
      <c r="A3" s="27" t="s">
        <v>257</v>
      </c>
      <c r="B3" s="28" t="s">
        <v>354</v>
      </c>
      <c r="C3" s="28" t="s">
        <v>57</v>
      </c>
      <c r="D3" s="28" t="s">
        <v>230</v>
      </c>
      <c r="E3" s="28" t="s">
        <v>237</v>
      </c>
      <c r="F3" s="28" t="s">
        <v>288</v>
      </c>
      <c r="G3" s="57">
        <v>1000000</v>
      </c>
      <c r="H3" s="22">
        <f>'S. Bus'!B9</f>
        <v>3.7777777777777777</v>
      </c>
      <c r="I3" s="26">
        <f>'S. Bus'!B17</f>
        <v>16.823788827406361</v>
      </c>
      <c r="J3" s="22">
        <f t="shared" si="0"/>
        <v>63.556535570201802</v>
      </c>
      <c r="K3" s="22">
        <f>'S. Bus'!B10</f>
        <v>15</v>
      </c>
      <c r="L3" s="21">
        <f t="shared" si="1"/>
        <v>953.34803355302699</v>
      </c>
      <c r="M3" s="20">
        <f>G3/Matrix!L3</f>
        <v>1048.9348745736706</v>
      </c>
    </row>
    <row r="4" spans="1:13" ht="50.3" customHeight="1" thickBot="1" x14ac:dyDescent="0.3">
      <c r="A4" s="27" t="s">
        <v>258</v>
      </c>
      <c r="B4" s="28" t="s">
        <v>353</v>
      </c>
      <c r="C4" s="28" t="s">
        <v>57</v>
      </c>
      <c r="D4" s="28" t="s">
        <v>230</v>
      </c>
      <c r="E4" s="28" t="s">
        <v>237</v>
      </c>
      <c r="F4" s="28" t="s">
        <v>288</v>
      </c>
      <c r="G4" s="57">
        <v>1000000</v>
      </c>
      <c r="H4" s="22">
        <f>'U. Bus'!B9</f>
        <v>5.9130434782608692</v>
      </c>
      <c r="I4" s="26">
        <f>'U. Bus'!B17</f>
        <v>63.010347927871521</v>
      </c>
      <c r="J4" s="22">
        <f t="shared" si="0"/>
        <v>372.58292687784899</v>
      </c>
      <c r="K4" s="22">
        <f>'U. Bus'!B10</f>
        <v>15</v>
      </c>
      <c r="L4" s="21">
        <f t="shared" si="1"/>
        <v>5588.743903167735</v>
      </c>
      <c r="M4" s="20">
        <f>G4/Matrix!L4</f>
        <v>178.93108314252757</v>
      </c>
    </row>
    <row r="5" spans="1:13" ht="64.55" customHeight="1" thickBot="1" x14ac:dyDescent="0.3">
      <c r="A5" s="27" t="s">
        <v>284</v>
      </c>
      <c r="B5" s="28" t="s">
        <v>279</v>
      </c>
      <c r="C5" s="28" t="s">
        <v>57</v>
      </c>
      <c r="D5" s="28" t="s">
        <v>230</v>
      </c>
      <c r="E5" s="28" t="s">
        <v>237</v>
      </c>
      <c r="F5" s="28" t="s">
        <v>289</v>
      </c>
      <c r="G5" s="57">
        <v>1000000</v>
      </c>
      <c r="H5" s="22">
        <f>'RNG Truck'!B9</f>
        <v>85</v>
      </c>
      <c r="I5" s="26">
        <f>'RNG Truck'!B17</f>
        <v>30.625</v>
      </c>
      <c r="J5" s="22">
        <f t="shared" si="0"/>
        <v>2603.125</v>
      </c>
      <c r="K5" s="22">
        <f>'RNG Truck'!B10</f>
        <v>3</v>
      </c>
      <c r="L5" s="21">
        <f t="shared" si="1"/>
        <v>7809.375</v>
      </c>
      <c r="M5" s="20">
        <f>G5/Matrix!L5</f>
        <v>128.05122048819527</v>
      </c>
    </row>
    <row r="6" spans="1:13" ht="78.8" customHeight="1" thickBot="1" x14ac:dyDescent="0.3">
      <c r="A6" s="27" t="s">
        <v>224</v>
      </c>
      <c r="B6" s="28" t="s">
        <v>352</v>
      </c>
      <c r="C6" s="28" t="s">
        <v>57</v>
      </c>
      <c r="D6" s="28" t="s">
        <v>229</v>
      </c>
      <c r="E6" s="28" t="s">
        <v>236</v>
      </c>
      <c r="F6" s="28" t="s">
        <v>238</v>
      </c>
      <c r="G6" s="57">
        <v>1000000</v>
      </c>
      <c r="H6" s="22">
        <f>'EV Infra'!B9</f>
        <v>85</v>
      </c>
      <c r="I6" s="26">
        <f>'EV Infra'!B24</f>
        <v>7.8389174620422324</v>
      </c>
      <c r="J6" s="22">
        <f t="shared" si="0"/>
        <v>666.3079842735898</v>
      </c>
      <c r="K6" s="22">
        <f>'EV Infra'!B10</f>
        <v>15</v>
      </c>
      <c r="L6" s="21">
        <f t="shared" si="1"/>
        <v>9994.619764103847</v>
      </c>
      <c r="M6" s="20">
        <f>G6/Matrix!L6</f>
        <v>100.05383132148235</v>
      </c>
    </row>
    <row r="7" spans="1:13" ht="76.45" customHeight="1" thickBot="1" x14ac:dyDescent="0.3">
      <c r="A7" s="27" t="s">
        <v>225</v>
      </c>
      <c r="B7" s="28" t="s">
        <v>351</v>
      </c>
      <c r="C7" s="28" t="s">
        <v>57</v>
      </c>
      <c r="D7" s="28" t="s">
        <v>60</v>
      </c>
      <c r="E7" s="28" t="s">
        <v>239</v>
      </c>
      <c r="F7" s="28" t="s">
        <v>240</v>
      </c>
      <c r="G7" s="57">
        <v>1000000</v>
      </c>
      <c r="H7" s="85">
        <f>'FCEV Infra'!B9</f>
        <v>0.35051546391752575</v>
      </c>
      <c r="I7" s="22">
        <f>'FCEV Infra'!B21</f>
        <v>724.34249999999997</v>
      </c>
      <c r="J7" s="22">
        <f t="shared" si="0"/>
        <v>253.89324742268039</v>
      </c>
      <c r="K7" s="23">
        <f>'FCEV Infra'!B10</f>
        <v>15</v>
      </c>
      <c r="L7" s="21">
        <f t="shared" si="1"/>
        <v>3808.3987113402059</v>
      </c>
      <c r="M7" s="20">
        <f>G7/Matrix!L7</f>
        <v>262.57754919996074</v>
      </c>
    </row>
    <row r="8" spans="1:13" ht="77.2" customHeight="1" thickBot="1" x14ac:dyDescent="0.3">
      <c r="A8" s="27" t="s">
        <v>254</v>
      </c>
      <c r="B8" s="28" t="s">
        <v>350</v>
      </c>
      <c r="C8" s="28" t="s">
        <v>4</v>
      </c>
      <c r="D8" s="28" t="s">
        <v>231</v>
      </c>
      <c r="E8" s="28" t="s">
        <v>241</v>
      </c>
      <c r="F8" s="28" t="s">
        <v>242</v>
      </c>
      <c r="G8" s="57">
        <v>1000000</v>
      </c>
      <c r="H8" s="23">
        <v>1</v>
      </c>
      <c r="I8" s="22">
        <f>'Carbon Farm'!B19</f>
        <v>1809.3860310989423</v>
      </c>
      <c r="J8" s="22">
        <f t="shared" si="0"/>
        <v>1809.3860310989423</v>
      </c>
      <c r="K8" s="22">
        <f>'Carbon Farm'!B9</f>
        <v>20</v>
      </c>
      <c r="L8" s="24">
        <f t="shared" si="1"/>
        <v>36187.72062197885</v>
      </c>
      <c r="M8" s="20">
        <f>G8/Matrix!L8</f>
        <v>27.633682995569593</v>
      </c>
    </row>
    <row r="9" spans="1:13" ht="62.2" customHeight="1" thickBot="1" x14ac:dyDescent="0.3">
      <c r="A9" s="27" t="s">
        <v>5</v>
      </c>
      <c r="B9" s="28" t="s">
        <v>349</v>
      </c>
      <c r="C9" s="28" t="s">
        <v>233</v>
      </c>
      <c r="D9" s="28" t="s">
        <v>235</v>
      </c>
      <c r="E9" s="28" t="s">
        <v>243</v>
      </c>
      <c r="F9" s="28" t="s">
        <v>8</v>
      </c>
      <c r="G9" s="57">
        <v>1000000</v>
      </c>
      <c r="H9" s="22">
        <v>1</v>
      </c>
      <c r="I9" s="22">
        <f>'U. Forests'!B16*'U. Forests'!B9</f>
        <v>149.62090704974099</v>
      </c>
      <c r="J9" s="58">
        <f t="shared" si="0"/>
        <v>149.62090704974099</v>
      </c>
      <c r="K9" s="23">
        <f>'U. Forests'!B10</f>
        <v>25</v>
      </c>
      <c r="L9" s="21">
        <f t="shared" si="1"/>
        <v>3740.522676243525</v>
      </c>
      <c r="M9" s="20">
        <f>G9/Matrix!L9</f>
        <v>267.34231725184054</v>
      </c>
    </row>
    <row r="10" spans="1:13" ht="64.55" customHeight="1" thickBot="1" x14ac:dyDescent="0.3">
      <c r="A10" s="27" t="s">
        <v>44</v>
      </c>
      <c r="B10" s="28" t="s">
        <v>348</v>
      </c>
      <c r="C10" s="28" t="s">
        <v>233</v>
      </c>
      <c r="D10" s="28" t="s">
        <v>232</v>
      </c>
      <c r="E10" s="28" t="s">
        <v>244</v>
      </c>
      <c r="F10" s="28" t="s">
        <v>246</v>
      </c>
      <c r="G10" s="18">
        <v>1000000</v>
      </c>
      <c r="H10" s="22">
        <f>'Energy Eff.'!B9</f>
        <v>566.66666666666663</v>
      </c>
      <c r="I10" s="25">
        <f>'Energy Eff.'!B13</f>
        <v>0.96</v>
      </c>
      <c r="J10" s="16">
        <f t="shared" si="0"/>
        <v>544</v>
      </c>
      <c r="K10" s="23">
        <f>'Energy Eff.'!B10</f>
        <v>15</v>
      </c>
      <c r="L10" s="21">
        <f t="shared" si="1"/>
        <v>8160</v>
      </c>
      <c r="M10" s="20">
        <f>G10/Matrix!L10</f>
        <v>122.54901960784314</v>
      </c>
    </row>
    <row r="11" spans="1:13" ht="63.1" customHeight="1" thickBot="1" x14ac:dyDescent="0.3">
      <c r="A11" s="27" t="s">
        <v>45</v>
      </c>
      <c r="B11" s="28" t="s">
        <v>347</v>
      </c>
      <c r="C11" s="28" t="s">
        <v>233</v>
      </c>
      <c r="D11" s="28" t="s">
        <v>232</v>
      </c>
      <c r="E11" s="28" t="s">
        <v>245</v>
      </c>
      <c r="F11" s="28" t="s">
        <v>247</v>
      </c>
      <c r="G11" s="18">
        <v>1000000</v>
      </c>
      <c r="H11" s="16">
        <f>Solar!B9</f>
        <v>566.66666666666663</v>
      </c>
      <c r="I11" s="92">
        <f>Solar!B19</f>
        <v>1.4392121249999998</v>
      </c>
      <c r="J11" s="16">
        <f t="shared" si="0"/>
        <v>815.55353749999983</v>
      </c>
      <c r="K11" s="17">
        <f>Solar!B10</f>
        <v>30</v>
      </c>
      <c r="L11" s="21">
        <f t="shared" si="1"/>
        <v>24466.606124999995</v>
      </c>
      <c r="M11" s="20">
        <f>G11/Matrix!L11</f>
        <v>40.872035740919507</v>
      </c>
    </row>
    <row r="12" spans="1:13" ht="91.45" customHeight="1" thickBot="1" x14ac:dyDescent="0.3">
      <c r="A12" s="27" t="s">
        <v>137</v>
      </c>
      <c r="B12" s="28" t="s">
        <v>138</v>
      </c>
      <c r="C12" s="28" t="s">
        <v>233</v>
      </c>
      <c r="D12" s="28" t="s">
        <v>234</v>
      </c>
      <c r="E12" s="28" t="s">
        <v>249</v>
      </c>
      <c r="F12" s="28" t="s">
        <v>250</v>
      </c>
      <c r="G12" s="18">
        <v>1000000</v>
      </c>
      <c r="H12" s="16">
        <f>Battery!B9</f>
        <v>776.25570776255711</v>
      </c>
      <c r="I12" s="92">
        <f>Battery!B27</f>
        <v>0.56699222889475021</v>
      </c>
      <c r="J12" s="16">
        <f t="shared" si="0"/>
        <v>440.13095393656408</v>
      </c>
      <c r="K12" s="17">
        <f>Battery!B10</f>
        <v>10</v>
      </c>
      <c r="L12" s="21">
        <f t="shared" si="1"/>
        <v>4401.3095393656404</v>
      </c>
      <c r="M12" s="20">
        <f>G12/Matrix!L12</f>
        <v>227.20510590221514</v>
      </c>
    </row>
    <row r="13" spans="1:13" ht="93.75" customHeight="1" thickBot="1" x14ac:dyDescent="0.3">
      <c r="A13" s="27" t="s">
        <v>259</v>
      </c>
      <c r="B13" s="28" t="s">
        <v>260</v>
      </c>
      <c r="C13" s="28" t="s">
        <v>233</v>
      </c>
      <c r="D13" s="28" t="s">
        <v>234</v>
      </c>
      <c r="E13" s="28" t="s">
        <v>262</v>
      </c>
      <c r="F13" s="28" t="s">
        <v>250</v>
      </c>
      <c r="G13" s="18">
        <v>1000000</v>
      </c>
      <c r="H13" s="16">
        <f>Combo!B9</f>
        <v>254.11061285500747</v>
      </c>
      <c r="I13" s="19">
        <f>Combo!B21</f>
        <v>2.1003650999999999</v>
      </c>
      <c r="J13" s="16">
        <f t="shared" si="0"/>
        <v>533.72506278026901</v>
      </c>
      <c r="K13" s="17">
        <f>Combo!B10</f>
        <v>10</v>
      </c>
      <c r="L13" s="21">
        <f t="shared" si="1"/>
        <v>5337.2506278026904</v>
      </c>
      <c r="M13" s="20">
        <f>G13/Matrix!L13</f>
        <v>187.36238369448526</v>
      </c>
    </row>
    <row r="14" spans="1:13" ht="79.5" customHeight="1" thickBot="1" x14ac:dyDescent="0.3">
      <c r="A14" s="27" t="s">
        <v>6</v>
      </c>
      <c r="B14" s="28" t="s">
        <v>346</v>
      </c>
      <c r="C14" s="28" t="s">
        <v>64</v>
      </c>
      <c r="D14" s="28" t="s">
        <v>63</v>
      </c>
      <c r="E14" s="28" t="s">
        <v>7</v>
      </c>
      <c r="F14" s="28" t="s">
        <v>248</v>
      </c>
      <c r="G14" s="57">
        <v>1000000</v>
      </c>
      <c r="H14" s="22">
        <v>1</v>
      </c>
      <c r="I14" s="22">
        <f>VSR!B14</f>
        <v>12099.467140319715</v>
      </c>
      <c r="J14" s="22">
        <f t="shared" si="0"/>
        <v>12099.467140319715</v>
      </c>
      <c r="K14" s="22">
        <f>VSR!B10</f>
        <v>1</v>
      </c>
      <c r="L14" s="21">
        <f t="shared" si="1"/>
        <v>12099.467140319715</v>
      </c>
      <c r="M14" s="20">
        <f>G14/Matrix!L14</f>
        <v>82.648267762771582</v>
      </c>
    </row>
    <row r="16" spans="1:13" x14ac:dyDescent="0.25">
      <c r="A16" s="83" t="s">
        <v>226</v>
      </c>
      <c r="B16" s="84"/>
      <c r="C16" s="84"/>
      <c r="D16" s="84"/>
      <c r="E16" s="84"/>
      <c r="F16" s="84"/>
      <c r="G16" s="84"/>
      <c r="H16" s="84"/>
      <c r="I16" s="84"/>
      <c r="J16" s="84"/>
      <c r="K16" s="84"/>
      <c r="L16" s="84"/>
    </row>
    <row r="17" spans="1:12" x14ac:dyDescent="0.25">
      <c r="A17" s="83" t="s">
        <v>228</v>
      </c>
      <c r="B17" s="84"/>
      <c r="C17" s="84"/>
      <c r="D17" s="84"/>
      <c r="E17" s="84"/>
      <c r="F17" s="84"/>
      <c r="G17" s="84"/>
      <c r="H17" s="84"/>
      <c r="I17" s="84"/>
      <c r="J17" s="84"/>
      <c r="K17" s="84"/>
      <c r="L17" s="84"/>
    </row>
    <row r="18" spans="1:12" x14ac:dyDescent="0.25">
      <c r="A18" s="84"/>
      <c r="B18" s="84"/>
      <c r="C18" s="84"/>
      <c r="D18" s="84"/>
      <c r="E18" s="84"/>
      <c r="F18" s="84"/>
      <c r="G18" s="84"/>
      <c r="H18" s="84"/>
      <c r="I18" s="84"/>
      <c r="J18" s="84"/>
      <c r="K18" s="84"/>
      <c r="L18" s="84"/>
    </row>
    <row r="19" spans="1:12" x14ac:dyDescent="0.25">
      <c r="A19" s="84"/>
      <c r="B19" s="84"/>
      <c r="C19" s="84"/>
      <c r="D19" s="84"/>
      <c r="E19" s="84"/>
      <c r="F19" s="84"/>
      <c r="G19" s="84"/>
      <c r="H19" s="84"/>
      <c r="I19" s="84"/>
      <c r="J19" s="84"/>
      <c r="K19" s="84"/>
      <c r="L19" s="84"/>
    </row>
    <row r="20" spans="1:12" x14ac:dyDescent="0.25">
      <c r="A20" s="84"/>
      <c r="B20" s="84"/>
      <c r="C20" s="84"/>
      <c r="D20" s="84"/>
      <c r="E20" s="84"/>
      <c r="F20" s="84"/>
      <c r="G20" s="84"/>
      <c r="H20" s="84"/>
      <c r="I20" s="84"/>
      <c r="J20" s="84"/>
      <c r="K20" s="84"/>
      <c r="L20" s="84"/>
    </row>
    <row r="21" spans="1:12" x14ac:dyDescent="0.25">
      <c r="A21" s="84"/>
      <c r="B21" s="84"/>
      <c r="C21" s="84"/>
      <c r="D21" s="84"/>
      <c r="E21" s="84"/>
      <c r="F21" s="84"/>
      <c r="G21" s="84"/>
      <c r="H21" s="84"/>
      <c r="I21" s="84"/>
      <c r="J21" s="84"/>
      <c r="K21" s="84"/>
      <c r="L21" s="84"/>
    </row>
    <row r="22" spans="1:12" x14ac:dyDescent="0.25">
      <c r="A22" s="84"/>
      <c r="B22" s="84"/>
      <c r="C22" s="84"/>
      <c r="D22" s="84"/>
      <c r="E22" s="84"/>
      <c r="F22" s="84"/>
      <c r="G22" s="84"/>
      <c r="H22" s="84"/>
      <c r="I22" s="84"/>
      <c r="J22" s="84"/>
      <c r="K22" s="84"/>
      <c r="L22" s="84"/>
    </row>
    <row r="23" spans="1:12" x14ac:dyDescent="0.25">
      <c r="A23" s="84"/>
      <c r="B23" s="84"/>
      <c r="C23" s="84"/>
      <c r="D23" s="84"/>
      <c r="E23" s="84"/>
      <c r="F23" s="84"/>
      <c r="G23" s="84"/>
      <c r="H23" s="84"/>
      <c r="I23" s="84"/>
      <c r="J23" s="84"/>
      <c r="K23" s="84"/>
      <c r="L23" s="84"/>
    </row>
    <row r="24" spans="1:12" x14ac:dyDescent="0.25">
      <c r="A24" s="84"/>
      <c r="B24" s="84"/>
      <c r="C24" s="84"/>
      <c r="D24" s="84"/>
      <c r="E24" s="84"/>
      <c r="F24" s="84"/>
      <c r="G24" s="84"/>
      <c r="H24" s="84"/>
      <c r="I24" s="84"/>
      <c r="J24" s="84"/>
      <c r="K24" s="84"/>
      <c r="L24" s="84"/>
    </row>
    <row r="25" spans="1:12" x14ac:dyDescent="0.25">
      <c r="A25" s="84"/>
      <c r="B25" s="84"/>
      <c r="C25" s="84"/>
      <c r="D25" s="84"/>
      <c r="E25" s="84"/>
      <c r="F25" s="84"/>
      <c r="G25" s="84"/>
      <c r="H25" s="84"/>
      <c r="I25" s="84"/>
      <c r="J25" s="84"/>
      <c r="K25" s="84"/>
      <c r="L25" s="84"/>
    </row>
  </sheetData>
  <pageMargins left="0.25" right="0.25" top="0.75" bottom="0.75" header="0.3" footer="0.3"/>
  <pageSetup paperSize="5" scale="5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R70"/>
  <sheetViews>
    <sheetView workbookViewId="0">
      <selection activeCell="D23" sqref="D23"/>
    </sheetView>
  </sheetViews>
  <sheetFormatPr defaultRowHeight="15.15" customHeight="1" x14ac:dyDescent="0.25"/>
  <cols>
    <col min="1" max="1" width="27.7109375" customWidth="1"/>
    <col min="2" max="2" width="10.5703125" customWidth="1"/>
    <col min="3" max="3" width="15.5703125" customWidth="1"/>
    <col min="4" max="4" width="33.5703125" customWidth="1"/>
  </cols>
  <sheetData>
    <row r="1" spans="1:9" ht="15.15" customHeight="1" x14ac:dyDescent="0.25">
      <c r="A1" s="71" t="s">
        <v>202</v>
      </c>
      <c r="D1" s="1"/>
    </row>
    <row r="2" spans="1:9" ht="15.15" customHeight="1" x14ac:dyDescent="0.25">
      <c r="A2" s="1"/>
      <c r="B2" s="1" t="s">
        <v>141</v>
      </c>
      <c r="C2" s="1" t="s">
        <v>142</v>
      </c>
      <c r="D2" s="1" t="s">
        <v>11</v>
      </c>
      <c r="E2" s="1" t="s">
        <v>37</v>
      </c>
    </row>
    <row r="3" spans="1:9" ht="15.15" customHeight="1" x14ac:dyDescent="0.25">
      <c r="A3" s="60" t="s">
        <v>71</v>
      </c>
      <c r="B3" s="31">
        <v>1000000</v>
      </c>
      <c r="D3" s="5" t="s">
        <v>150</v>
      </c>
      <c r="E3" s="1"/>
    </row>
    <row r="4" spans="1:9" ht="15.15" customHeight="1" x14ac:dyDescent="0.25">
      <c r="A4" s="61" t="s">
        <v>65</v>
      </c>
      <c r="B4" s="53">
        <v>0.15</v>
      </c>
      <c r="D4" s="1"/>
      <c r="E4" s="1"/>
    </row>
    <row r="5" spans="1:9" ht="15.15" customHeight="1" x14ac:dyDescent="0.25">
      <c r="A5" s="60" t="s">
        <v>96</v>
      </c>
      <c r="B5" s="31">
        <f>B3*(1-B4)</f>
        <v>850000</v>
      </c>
      <c r="D5" s="1"/>
      <c r="E5" s="1"/>
    </row>
    <row r="6" spans="1:9" ht="15.15" customHeight="1" x14ac:dyDescent="0.25">
      <c r="A6" s="1"/>
      <c r="D6" s="1"/>
      <c r="E6" s="1"/>
    </row>
    <row r="7" spans="1:9" ht="15.15" customHeight="1" x14ac:dyDescent="0.25">
      <c r="A7" s="71" t="s">
        <v>143</v>
      </c>
      <c r="D7" s="1"/>
      <c r="E7" s="1"/>
    </row>
    <row r="8" spans="1:9" ht="15.15" customHeight="1" x14ac:dyDescent="0.25">
      <c r="A8" s="60" t="s">
        <v>274</v>
      </c>
      <c r="B8" s="64">
        <v>2500</v>
      </c>
      <c r="D8" t="s">
        <v>84</v>
      </c>
      <c r="I8" s="1"/>
    </row>
    <row r="9" spans="1:9" ht="15.15" customHeight="1" x14ac:dyDescent="0.25">
      <c r="A9" s="60" t="s">
        <v>181</v>
      </c>
      <c r="B9" s="36">
        <f>B5/B8</f>
        <v>340</v>
      </c>
      <c r="C9" t="s">
        <v>180</v>
      </c>
      <c r="I9" s="1"/>
    </row>
    <row r="10" spans="1:9" ht="15.15" customHeight="1" x14ac:dyDescent="0.25">
      <c r="A10" s="69" t="s">
        <v>66</v>
      </c>
      <c r="B10" s="35">
        <v>15</v>
      </c>
      <c r="D10" t="s">
        <v>68</v>
      </c>
      <c r="I10" s="1"/>
    </row>
    <row r="11" spans="1:9" ht="15.15" customHeight="1" x14ac:dyDescent="0.25">
      <c r="A11" s="1"/>
      <c r="D11" s="1"/>
      <c r="E11" s="1"/>
    </row>
    <row r="12" spans="1:9" ht="15.15" customHeight="1" x14ac:dyDescent="0.25">
      <c r="A12" s="71" t="s">
        <v>145</v>
      </c>
      <c r="D12" s="1"/>
      <c r="E12" s="1"/>
    </row>
    <row r="13" spans="1:9" ht="15.15" customHeight="1" x14ac:dyDescent="0.25">
      <c r="A13" s="3" t="s">
        <v>204</v>
      </c>
      <c r="B13" s="46">
        <v>382</v>
      </c>
      <c r="C13" s="33" t="s">
        <v>73</v>
      </c>
      <c r="D13" s="4" t="s">
        <v>191</v>
      </c>
      <c r="E13" t="s">
        <v>121</v>
      </c>
      <c r="H13" s="37"/>
    </row>
    <row r="14" spans="1:9" ht="15.15" customHeight="1" x14ac:dyDescent="0.25">
      <c r="A14" s="3" t="s">
        <v>203</v>
      </c>
      <c r="B14" s="46">
        <v>120</v>
      </c>
      <c r="C14" s="33" t="s">
        <v>73</v>
      </c>
      <c r="D14" s="4" t="s">
        <v>191</v>
      </c>
      <c r="E14" t="s">
        <v>122</v>
      </c>
    </row>
    <row r="15" spans="1:9" ht="15.15" customHeight="1" x14ac:dyDescent="0.25">
      <c r="A15" s="3" t="s">
        <v>95</v>
      </c>
      <c r="B15" s="46">
        <v>11059</v>
      </c>
      <c r="C15" t="s">
        <v>42</v>
      </c>
      <c r="D15" s="4" t="s">
        <v>191</v>
      </c>
      <c r="E15" t="s">
        <v>123</v>
      </c>
    </row>
    <row r="16" spans="1:9" ht="15.15" customHeight="1" x14ac:dyDescent="0.25">
      <c r="A16" s="4"/>
      <c r="B16" s="46"/>
      <c r="C16" s="4"/>
      <c r="D16" s="4"/>
    </row>
    <row r="17" spans="1:9" ht="15.15" customHeight="1" x14ac:dyDescent="0.25">
      <c r="A17" s="3" t="s">
        <v>205</v>
      </c>
      <c r="B17" s="43">
        <f>B13*B15/1000000</f>
        <v>4.2245379999999999</v>
      </c>
      <c r="C17" t="s">
        <v>117</v>
      </c>
      <c r="D17" s="4"/>
    </row>
    <row r="18" spans="1:9" ht="15.15" customHeight="1" x14ac:dyDescent="0.25">
      <c r="A18" s="3" t="s">
        <v>206</v>
      </c>
      <c r="B18" s="50">
        <f>B15*B14/1000000</f>
        <v>1.32708</v>
      </c>
      <c r="C18" t="s">
        <v>117</v>
      </c>
      <c r="D18" s="4"/>
    </row>
    <row r="19" spans="1:9" ht="15.15" customHeight="1" x14ac:dyDescent="0.25">
      <c r="A19" s="4"/>
      <c r="B19" s="50"/>
      <c r="D19" s="4"/>
    </row>
    <row r="20" spans="1:9" ht="15.15" customHeight="1" x14ac:dyDescent="0.25">
      <c r="A20" s="61" t="s">
        <v>175</v>
      </c>
      <c r="B20" s="50">
        <f>B17-B18</f>
        <v>2.8974579999999999</v>
      </c>
      <c r="C20" t="s">
        <v>117</v>
      </c>
    </row>
    <row r="21" spans="1:9" ht="15.15" customHeight="1" x14ac:dyDescent="0.25">
      <c r="A21" s="69" t="s">
        <v>155</v>
      </c>
      <c r="B21" s="36">
        <f>B20*B9</f>
        <v>985.13571999999999</v>
      </c>
      <c r="C21" t="s">
        <v>118</v>
      </c>
      <c r="I21" s="1"/>
    </row>
    <row r="22" spans="1:9" ht="15.15" customHeight="1" x14ac:dyDescent="0.25">
      <c r="A22" s="69" t="s">
        <v>67</v>
      </c>
      <c r="B22" s="36">
        <f>B21*B10</f>
        <v>14777.0358</v>
      </c>
      <c r="C22" t="s">
        <v>107</v>
      </c>
      <c r="I22" s="1"/>
    </row>
    <row r="23" spans="1:9" ht="15.15" customHeight="1" x14ac:dyDescent="0.25">
      <c r="I23" s="1"/>
    </row>
    <row r="24" spans="1:9" ht="15.15" customHeight="1" x14ac:dyDescent="0.25">
      <c r="A24" s="15"/>
    </row>
    <row r="25" spans="1:9" ht="15.15" customHeight="1" x14ac:dyDescent="0.25">
      <c r="A25" s="15"/>
    </row>
    <row r="26" spans="1:9" ht="15.15" customHeight="1" x14ac:dyDescent="0.25">
      <c r="A26" s="1" t="s">
        <v>88</v>
      </c>
    </row>
    <row r="27" spans="1:9" ht="15.15" customHeight="1" x14ac:dyDescent="0.25">
      <c r="A27" s="37" t="s">
        <v>252</v>
      </c>
    </row>
    <row r="28" spans="1:9" ht="15.15" customHeight="1" x14ac:dyDescent="0.25">
      <c r="A28" s="37" t="s">
        <v>189</v>
      </c>
    </row>
    <row r="32" spans="1:9" ht="15.15" customHeight="1" x14ac:dyDescent="0.25">
      <c r="D32" s="2"/>
      <c r="E32" s="2"/>
      <c r="G32" s="2"/>
    </row>
    <row r="33" spans="4:15" ht="15.15" customHeight="1" x14ac:dyDescent="0.25">
      <c r="D33" s="2"/>
      <c r="E33" s="2"/>
      <c r="F33" s="2"/>
      <c r="G33" s="2"/>
    </row>
    <row r="34" spans="4:15" ht="15.15" customHeight="1" x14ac:dyDescent="0.25">
      <c r="D34" s="2"/>
      <c r="E34" s="2"/>
      <c r="F34" s="2"/>
      <c r="G34" s="2"/>
    </row>
    <row r="35" spans="4:15" ht="15.15" customHeight="1" x14ac:dyDescent="0.25">
      <c r="D35" s="2"/>
      <c r="E35" s="2"/>
      <c r="F35" s="2"/>
      <c r="G35" s="2"/>
      <c r="H35" s="2"/>
    </row>
    <row r="36" spans="4:15" ht="15.15" customHeight="1" x14ac:dyDescent="0.25">
      <c r="D36" s="2"/>
      <c r="E36" s="2"/>
      <c r="F36" s="2"/>
      <c r="G36" s="2"/>
      <c r="H36" s="2"/>
      <c r="I36" s="2"/>
    </row>
    <row r="37" spans="4:15" ht="15.15" customHeight="1" x14ac:dyDescent="0.25">
      <c r="D37" s="2"/>
      <c r="E37" s="2"/>
      <c r="F37" s="2"/>
      <c r="G37" s="2"/>
      <c r="H37" s="2"/>
      <c r="I37" s="2"/>
      <c r="J37" s="2"/>
    </row>
    <row r="38" spans="4:15" ht="15.15" customHeight="1" x14ac:dyDescent="0.25">
      <c r="D38" s="2"/>
      <c r="E38" s="2"/>
      <c r="F38" s="2"/>
      <c r="G38" s="2"/>
      <c r="H38" s="2"/>
      <c r="I38" s="2"/>
      <c r="J38" s="2"/>
      <c r="K38" s="2"/>
    </row>
    <row r="39" spans="4:15" ht="15.15" customHeight="1" x14ac:dyDescent="0.25">
      <c r="D39" s="2"/>
      <c r="E39" s="2"/>
      <c r="F39" s="2"/>
      <c r="G39" s="2"/>
      <c r="H39" s="2"/>
      <c r="I39" s="2"/>
      <c r="J39" s="2"/>
      <c r="K39" s="2"/>
      <c r="L39" s="2"/>
    </row>
    <row r="40" spans="4:15" ht="15.15" customHeight="1" x14ac:dyDescent="0.25">
      <c r="D40" s="2"/>
      <c r="E40" s="2"/>
      <c r="F40" s="2"/>
      <c r="G40" s="2"/>
      <c r="H40" s="2"/>
      <c r="I40" s="2"/>
      <c r="J40" s="2"/>
      <c r="K40" s="2"/>
      <c r="L40" s="2"/>
      <c r="M40" s="2"/>
    </row>
    <row r="41" spans="4:15" ht="15.15" customHeight="1" x14ac:dyDescent="0.25">
      <c r="D41" s="2"/>
      <c r="E41" s="2"/>
      <c r="F41" s="2"/>
      <c r="G41" s="2"/>
      <c r="H41" s="2"/>
      <c r="I41" s="2"/>
      <c r="J41" s="2"/>
      <c r="K41" s="2"/>
      <c r="L41" s="2"/>
      <c r="M41" s="2"/>
    </row>
    <row r="42" spans="4:15" ht="15.15" customHeight="1" x14ac:dyDescent="0.25">
      <c r="D42" s="2"/>
      <c r="E42" s="2"/>
      <c r="F42" s="2"/>
      <c r="G42" s="2"/>
      <c r="H42" s="2"/>
      <c r="I42" s="2"/>
      <c r="J42" s="2"/>
      <c r="K42" s="2"/>
      <c r="L42" s="2"/>
      <c r="M42" s="2"/>
    </row>
    <row r="43" spans="4:15" ht="15.15" customHeight="1" x14ac:dyDescent="0.25">
      <c r="D43" s="2"/>
      <c r="E43" s="2"/>
      <c r="F43" s="2"/>
      <c r="G43" s="2"/>
      <c r="H43" s="2"/>
      <c r="I43" s="2"/>
      <c r="J43" s="2"/>
      <c r="K43" s="2"/>
      <c r="L43" s="2"/>
      <c r="M43" s="2"/>
    </row>
    <row r="44" spans="4:15" ht="15.15" customHeight="1" x14ac:dyDescent="0.25">
      <c r="D44" s="2"/>
      <c r="E44" s="2"/>
      <c r="F44" s="2"/>
      <c r="G44" s="2"/>
      <c r="H44" s="2"/>
      <c r="I44" s="2"/>
      <c r="J44" s="2"/>
      <c r="K44" s="2"/>
      <c r="L44" s="2"/>
      <c r="M44" s="2"/>
    </row>
    <row r="45" spans="4:15" ht="15.15" customHeight="1" x14ac:dyDescent="0.25">
      <c r="D45" s="2"/>
      <c r="E45" s="2"/>
      <c r="F45" s="2"/>
      <c r="G45" s="2"/>
      <c r="H45" s="2"/>
      <c r="I45" s="2"/>
      <c r="J45" s="2"/>
      <c r="K45" s="2"/>
      <c r="L45" s="2"/>
      <c r="M45" s="2"/>
    </row>
    <row r="46" spans="4:15" ht="15.15" customHeight="1" x14ac:dyDescent="0.25">
      <c r="D46" s="2"/>
      <c r="E46" s="2"/>
      <c r="F46" s="2"/>
      <c r="G46" s="2"/>
      <c r="H46" s="2"/>
      <c r="I46" s="2"/>
      <c r="J46" s="2"/>
      <c r="K46" s="2"/>
      <c r="L46" s="2"/>
      <c r="M46" s="2"/>
    </row>
    <row r="47" spans="4:15" ht="15.15" customHeight="1" x14ac:dyDescent="0.25">
      <c r="D47" s="2"/>
      <c r="E47" s="2"/>
      <c r="F47" s="2"/>
      <c r="G47" s="2"/>
      <c r="H47" s="2"/>
      <c r="I47" s="2"/>
      <c r="J47" s="2"/>
      <c r="K47" s="2"/>
      <c r="L47" s="2"/>
      <c r="M47" s="2"/>
      <c r="N47" s="2"/>
    </row>
    <row r="48" spans="4:15" ht="15.15" customHeight="1" x14ac:dyDescent="0.25">
      <c r="D48" s="2"/>
      <c r="E48" s="2"/>
      <c r="F48" s="2"/>
      <c r="G48" s="2"/>
      <c r="H48" s="2"/>
      <c r="I48" s="2"/>
      <c r="J48" s="2"/>
      <c r="K48" s="2"/>
      <c r="L48" s="2"/>
      <c r="M48" s="2"/>
      <c r="N48" s="2"/>
      <c r="O48" s="2"/>
    </row>
    <row r="49" spans="4:18" ht="15.15" customHeight="1" x14ac:dyDescent="0.25">
      <c r="D49" s="2"/>
      <c r="E49" s="2"/>
      <c r="F49" s="2"/>
      <c r="G49" s="2"/>
      <c r="H49" s="2"/>
      <c r="I49" s="2"/>
      <c r="J49" s="2"/>
      <c r="K49" s="2"/>
      <c r="L49" s="2"/>
      <c r="M49" s="2"/>
      <c r="N49" s="2"/>
      <c r="O49" s="2"/>
      <c r="P49" s="2"/>
    </row>
    <row r="50" spans="4:18" ht="15.15" customHeight="1" x14ac:dyDescent="0.25">
      <c r="D50" s="2"/>
      <c r="E50" s="2"/>
      <c r="F50" s="2"/>
      <c r="G50" s="2"/>
      <c r="H50" s="2"/>
      <c r="I50" s="2"/>
      <c r="J50" s="2"/>
      <c r="K50" s="2"/>
      <c r="L50" s="2"/>
      <c r="M50" s="2"/>
      <c r="N50" s="2"/>
      <c r="O50" s="2"/>
      <c r="P50" s="2"/>
      <c r="Q50" s="2"/>
    </row>
    <row r="51" spans="4:18" ht="15.15" customHeight="1" x14ac:dyDescent="0.25">
      <c r="D51" s="2"/>
      <c r="E51" s="2"/>
      <c r="F51" s="2"/>
      <c r="G51" s="2"/>
      <c r="H51" s="2"/>
      <c r="I51" s="2"/>
      <c r="J51" s="2"/>
      <c r="K51" s="2"/>
      <c r="L51" s="2"/>
      <c r="M51" s="2"/>
      <c r="N51" s="2"/>
      <c r="O51" s="2"/>
      <c r="P51" s="2"/>
      <c r="Q51" s="2"/>
      <c r="R51" s="2"/>
    </row>
    <row r="52" spans="4:18" ht="15.15" customHeight="1" x14ac:dyDescent="0.25">
      <c r="D52" s="2"/>
      <c r="E52" s="2"/>
      <c r="F52" s="2"/>
      <c r="G52" s="2"/>
      <c r="H52" s="2"/>
      <c r="I52" s="2"/>
      <c r="J52" s="2"/>
      <c r="K52" s="2"/>
      <c r="L52" s="2"/>
      <c r="M52" s="2"/>
      <c r="N52" s="2"/>
      <c r="O52" s="2"/>
      <c r="P52" s="2"/>
      <c r="Q52" s="2"/>
      <c r="R52" s="2"/>
    </row>
    <row r="53" spans="4:18" ht="15.15" customHeight="1" x14ac:dyDescent="0.25">
      <c r="D53" s="2"/>
      <c r="E53" s="2"/>
      <c r="G53" s="2"/>
      <c r="H53" s="2"/>
      <c r="I53" s="2"/>
      <c r="J53" s="2"/>
      <c r="K53" s="2"/>
      <c r="L53" s="2"/>
      <c r="M53" s="2"/>
      <c r="N53" s="2"/>
      <c r="O53" s="2"/>
      <c r="P53" s="2"/>
      <c r="Q53" s="2"/>
      <c r="R53" s="2"/>
    </row>
    <row r="54" spans="4:18" ht="15.15" customHeight="1" x14ac:dyDescent="0.25">
      <c r="D54" s="2"/>
      <c r="E54" s="2"/>
      <c r="G54" s="2"/>
      <c r="H54" s="2"/>
      <c r="I54" s="2"/>
      <c r="J54" s="2"/>
      <c r="K54" s="2"/>
      <c r="L54" s="2"/>
      <c r="M54" s="2"/>
      <c r="N54" s="2"/>
      <c r="O54" s="2"/>
      <c r="P54" s="2"/>
      <c r="Q54" s="2"/>
      <c r="R54" s="2"/>
    </row>
    <row r="55" spans="4:18" ht="15.15" customHeight="1" x14ac:dyDescent="0.25">
      <c r="D55" s="2"/>
      <c r="E55" s="2"/>
      <c r="G55" s="2"/>
      <c r="I55" s="2"/>
      <c r="J55" s="2"/>
      <c r="K55" s="2"/>
      <c r="L55" s="2"/>
      <c r="M55" s="2"/>
      <c r="N55" s="2"/>
      <c r="O55" s="2"/>
      <c r="P55" s="2"/>
      <c r="Q55" s="2"/>
      <c r="R55" s="2"/>
    </row>
    <row r="56" spans="4:18" ht="15.15" customHeight="1" x14ac:dyDescent="0.25">
      <c r="E56" s="2"/>
      <c r="G56" s="2"/>
      <c r="J56" s="2"/>
      <c r="K56" s="2"/>
      <c r="L56" s="2"/>
      <c r="M56" s="2"/>
      <c r="N56" s="2"/>
      <c r="O56" s="2"/>
      <c r="P56" s="2"/>
      <c r="Q56" s="2"/>
      <c r="R56" s="2"/>
    </row>
    <row r="57" spans="4:18" ht="15.15" customHeight="1" x14ac:dyDescent="0.25">
      <c r="E57" s="2"/>
      <c r="G57" s="2"/>
      <c r="K57" s="2"/>
      <c r="L57" s="2"/>
      <c r="M57" s="2"/>
      <c r="N57" s="2"/>
      <c r="O57" s="2"/>
      <c r="P57" s="2"/>
      <c r="Q57" s="2"/>
      <c r="R57" s="2"/>
    </row>
    <row r="58" spans="4:18" ht="15.15" customHeight="1" x14ac:dyDescent="0.25">
      <c r="E58" s="2"/>
      <c r="G58" s="2"/>
      <c r="L58" s="2"/>
      <c r="M58" s="2"/>
      <c r="N58" s="2"/>
      <c r="O58" s="2"/>
      <c r="P58" s="2"/>
      <c r="Q58" s="2"/>
      <c r="R58" s="2"/>
    </row>
    <row r="59" spans="4:18" ht="15.15" customHeight="1" x14ac:dyDescent="0.25">
      <c r="E59" s="2"/>
      <c r="G59" s="2"/>
      <c r="M59" s="2"/>
      <c r="N59" s="2"/>
      <c r="O59" s="2"/>
      <c r="P59" s="2"/>
      <c r="Q59" s="2"/>
      <c r="R59" s="2"/>
    </row>
    <row r="60" spans="4:18" ht="15.15" customHeight="1" x14ac:dyDescent="0.25">
      <c r="E60" s="2"/>
      <c r="G60" s="2"/>
      <c r="N60" s="2"/>
      <c r="O60" s="2"/>
      <c r="P60" s="2"/>
      <c r="Q60" s="2"/>
      <c r="R60" s="2"/>
    </row>
    <row r="61" spans="4:18" ht="15.15" customHeight="1" x14ac:dyDescent="0.25">
      <c r="E61" s="2"/>
      <c r="G61" s="2"/>
      <c r="N61" s="2"/>
      <c r="O61" s="2"/>
      <c r="P61" s="2"/>
      <c r="Q61" s="2"/>
      <c r="R61" s="2"/>
    </row>
    <row r="62" spans="4:18" ht="15.15" customHeight="1" x14ac:dyDescent="0.25">
      <c r="E62" s="2"/>
      <c r="G62" s="2"/>
      <c r="N62" s="2"/>
      <c r="O62" s="2"/>
      <c r="P62" s="2"/>
      <c r="Q62" s="2"/>
      <c r="R62" s="2"/>
    </row>
    <row r="63" spans="4:18" ht="15.15" customHeight="1" x14ac:dyDescent="0.25">
      <c r="E63" s="2"/>
      <c r="G63" s="2"/>
      <c r="N63" s="2"/>
      <c r="O63" s="2"/>
      <c r="P63" s="2"/>
      <c r="Q63" s="2"/>
      <c r="R63" s="2"/>
    </row>
    <row r="64" spans="4:18" ht="15.15" customHeight="1" x14ac:dyDescent="0.25">
      <c r="E64" s="2"/>
      <c r="G64" s="2"/>
      <c r="N64" s="2"/>
      <c r="O64" s="2"/>
      <c r="P64" s="2"/>
      <c r="Q64" s="2"/>
      <c r="R64" s="2"/>
    </row>
    <row r="65" spans="5:18" ht="15.15" customHeight="1" x14ac:dyDescent="0.25">
      <c r="E65" s="2"/>
      <c r="G65" s="2"/>
      <c r="N65" s="2"/>
      <c r="O65" s="2"/>
      <c r="P65" s="2"/>
      <c r="Q65" s="2"/>
      <c r="R65" s="2"/>
    </row>
    <row r="66" spans="5:18" ht="15.15" customHeight="1" x14ac:dyDescent="0.25">
      <c r="E66" s="2"/>
      <c r="G66" s="2"/>
      <c r="N66" s="2"/>
      <c r="O66" s="2"/>
      <c r="P66" s="2"/>
      <c r="Q66" s="2"/>
      <c r="R66" s="2"/>
    </row>
    <row r="67" spans="5:18" ht="15.15" customHeight="1" x14ac:dyDescent="0.25">
      <c r="E67" s="2"/>
      <c r="G67" s="2"/>
      <c r="O67" s="2"/>
      <c r="P67" s="2"/>
      <c r="Q67" s="2"/>
      <c r="R67" s="2"/>
    </row>
    <row r="68" spans="5:18" ht="15.15" customHeight="1" x14ac:dyDescent="0.25">
      <c r="E68" s="2"/>
      <c r="G68" s="2"/>
      <c r="P68" s="2"/>
      <c r="Q68" s="2"/>
      <c r="R68" s="2"/>
    </row>
    <row r="69" spans="5:18" ht="15.15" customHeight="1" x14ac:dyDescent="0.25">
      <c r="E69" s="2"/>
      <c r="G69" s="2"/>
      <c r="Q69" s="2"/>
      <c r="R69" s="2"/>
    </row>
    <row r="70" spans="5:18" ht="15.15" customHeight="1" x14ac:dyDescent="0.25">
      <c r="E70" s="2"/>
      <c r="G70" s="2"/>
      <c r="R70" s="2"/>
    </row>
  </sheetData>
  <hyperlinks>
    <hyperlink ref="A28" r:id="rId1" display="https://cleanvehiclerebate.org/eng"/>
    <hyperlink ref="A27" r:id="rId2" display="https://www.arb.ca.gov/cc/capandtrade/auctionproceeds/arb_cbld_finalqm_16-17.pdf"/>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O37"/>
  <sheetViews>
    <sheetView workbookViewId="0">
      <selection activeCell="K34" sqref="K34"/>
    </sheetView>
  </sheetViews>
  <sheetFormatPr defaultRowHeight="15.15" customHeight="1" x14ac:dyDescent="0.25"/>
  <cols>
    <col min="1" max="1" width="27.7109375" customWidth="1"/>
    <col min="2" max="2" width="10.5703125" customWidth="1"/>
    <col min="3" max="3" width="15.5703125" customWidth="1"/>
    <col min="4" max="4" width="35.42578125" customWidth="1"/>
    <col min="5" max="5" width="15.5703125" customWidth="1"/>
  </cols>
  <sheetData>
    <row r="1" spans="1:15" ht="15.15" customHeight="1" x14ac:dyDescent="0.25">
      <c r="A1" s="71" t="s">
        <v>273</v>
      </c>
      <c r="D1" s="1"/>
      <c r="E1" s="1"/>
      <c r="O1" s="1"/>
    </row>
    <row r="2" spans="1:15" ht="15.15" customHeight="1" x14ac:dyDescent="0.25">
      <c r="B2" s="1" t="s">
        <v>141</v>
      </c>
      <c r="C2" s="1" t="s">
        <v>142</v>
      </c>
      <c r="D2" s="1" t="s">
        <v>11</v>
      </c>
    </row>
    <row r="3" spans="1:15" ht="15.15" customHeight="1" x14ac:dyDescent="0.25">
      <c r="A3" s="60" t="s">
        <v>71</v>
      </c>
      <c r="B3" s="31">
        <v>1000000</v>
      </c>
      <c r="D3" s="5" t="s">
        <v>150</v>
      </c>
    </row>
    <row r="4" spans="1:15" ht="15.15" customHeight="1" x14ac:dyDescent="0.25">
      <c r="A4" s="61" t="s">
        <v>65</v>
      </c>
      <c r="B4" s="74">
        <v>0.15</v>
      </c>
    </row>
    <row r="5" spans="1:15" ht="15.15" customHeight="1" x14ac:dyDescent="0.25">
      <c r="A5" s="60" t="s">
        <v>96</v>
      </c>
      <c r="B5" s="31">
        <f>B3*(1-B4)</f>
        <v>850000</v>
      </c>
    </row>
    <row r="7" spans="1:15" ht="15.15" customHeight="1" x14ac:dyDescent="0.25">
      <c r="A7" s="71" t="s">
        <v>143</v>
      </c>
    </row>
    <row r="8" spans="1:15" ht="15.15" customHeight="1" x14ac:dyDescent="0.25">
      <c r="A8" s="60" t="s">
        <v>255</v>
      </c>
      <c r="B8" s="64">
        <v>225000</v>
      </c>
      <c r="C8" s="75"/>
      <c r="D8" s="4" t="s">
        <v>302</v>
      </c>
    </row>
    <row r="9" spans="1:15" ht="15.15" customHeight="1" x14ac:dyDescent="0.25">
      <c r="A9" s="60" t="s">
        <v>220</v>
      </c>
      <c r="B9" s="87">
        <f>B5/B8</f>
        <v>3.7777777777777777</v>
      </c>
      <c r="C9" s="33" t="s">
        <v>182</v>
      </c>
    </row>
    <row r="10" spans="1:15" ht="15.15" customHeight="1" x14ac:dyDescent="0.25">
      <c r="A10" s="69" t="s">
        <v>66</v>
      </c>
      <c r="B10" s="35">
        <v>15</v>
      </c>
      <c r="C10" s="33"/>
      <c r="D10" s="4" t="s">
        <v>209</v>
      </c>
    </row>
    <row r="12" spans="1:15" ht="15.15" customHeight="1" x14ac:dyDescent="0.25">
      <c r="A12" s="71" t="s">
        <v>145</v>
      </c>
    </row>
    <row r="13" spans="1:15" ht="15.15" customHeight="1" x14ac:dyDescent="0.25">
      <c r="A13" s="61" t="s">
        <v>69</v>
      </c>
      <c r="B13" s="35">
        <v>1786</v>
      </c>
      <c r="C13" s="33" t="s">
        <v>73</v>
      </c>
      <c r="D13" s="4" t="s">
        <v>209</v>
      </c>
      <c r="E13" t="s">
        <v>303</v>
      </c>
      <c r="F13" s="33"/>
      <c r="G13" s="33"/>
      <c r="H13" s="33"/>
      <c r="I13" s="33"/>
    </row>
    <row r="14" spans="1:15" ht="15.15" customHeight="1" x14ac:dyDescent="0.25">
      <c r="A14" s="61" t="s">
        <v>70</v>
      </c>
      <c r="B14" s="35">
        <v>335</v>
      </c>
      <c r="C14" s="33" t="s">
        <v>73</v>
      </c>
      <c r="D14" s="4" t="s">
        <v>209</v>
      </c>
      <c r="E14" t="s">
        <v>122</v>
      </c>
      <c r="F14" s="33"/>
      <c r="G14" s="33"/>
      <c r="H14" s="33"/>
      <c r="I14" s="33"/>
    </row>
    <row r="15" spans="1:15" ht="15.15" customHeight="1" x14ac:dyDescent="0.25">
      <c r="A15" s="61" t="s">
        <v>101</v>
      </c>
      <c r="B15" s="35">
        <f>G34</f>
        <v>11594.61669704091</v>
      </c>
      <c r="C15" s="33" t="s">
        <v>168</v>
      </c>
      <c r="D15" s="33" t="s">
        <v>328</v>
      </c>
      <c r="E15" s="33"/>
      <c r="F15" s="33"/>
      <c r="G15" s="33"/>
      <c r="H15" s="33"/>
      <c r="I15" s="33"/>
    </row>
    <row r="16" spans="1:15" ht="15.15" customHeight="1" x14ac:dyDescent="0.25">
      <c r="A16" s="42"/>
      <c r="B16" s="39"/>
      <c r="C16" s="33"/>
      <c r="D16" s="33"/>
      <c r="E16" s="33"/>
      <c r="F16" s="33"/>
      <c r="G16" s="33"/>
      <c r="H16" s="33"/>
      <c r="I16" s="33"/>
    </row>
    <row r="17" spans="1:9" ht="15.15" customHeight="1" x14ac:dyDescent="0.25">
      <c r="A17" s="61" t="s">
        <v>175</v>
      </c>
      <c r="B17" s="87">
        <f>(B13-B14)*B15/1000000</f>
        <v>16.823788827406361</v>
      </c>
      <c r="C17" s="33" t="s">
        <v>167</v>
      </c>
      <c r="D17" s="41"/>
      <c r="E17" s="33"/>
      <c r="F17" s="33"/>
      <c r="G17" s="33"/>
      <c r="H17" s="33"/>
      <c r="I17" s="33"/>
    </row>
    <row r="18" spans="1:9" ht="15.15" customHeight="1" x14ac:dyDescent="0.25">
      <c r="A18" s="69" t="s">
        <v>155</v>
      </c>
      <c r="B18" s="35">
        <f>B9*B17</f>
        <v>63.556535570201802</v>
      </c>
      <c r="C18" s="33" t="s">
        <v>118</v>
      </c>
      <c r="D18" s="42"/>
      <c r="E18" s="42"/>
      <c r="F18" s="42"/>
      <c r="G18" s="42"/>
      <c r="H18" s="42"/>
      <c r="I18" s="42"/>
    </row>
    <row r="19" spans="1:9" ht="15.15" customHeight="1" x14ac:dyDescent="0.25">
      <c r="A19" s="69" t="s">
        <v>67</v>
      </c>
      <c r="B19" s="35">
        <f>B18*B10</f>
        <v>953.34803355302699</v>
      </c>
      <c r="C19" s="33" t="s">
        <v>107</v>
      </c>
      <c r="D19" s="42"/>
      <c r="E19" s="42"/>
      <c r="F19" s="42"/>
      <c r="G19" s="42"/>
      <c r="H19" s="42"/>
      <c r="I19" s="42"/>
    </row>
    <row r="20" spans="1:9" ht="15.15" customHeight="1" x14ac:dyDescent="0.25">
      <c r="A20" s="42"/>
      <c r="B20" s="41"/>
      <c r="C20" s="42"/>
      <c r="D20" s="42"/>
      <c r="E20" s="42"/>
      <c r="F20" s="42"/>
      <c r="G20" s="42"/>
      <c r="H20" s="42"/>
      <c r="I20" s="42"/>
    </row>
    <row r="21" spans="1:9" ht="15.15" customHeight="1" x14ac:dyDescent="0.25">
      <c r="A21" s="42"/>
      <c r="B21" s="41"/>
      <c r="C21" s="42"/>
      <c r="D21" s="42"/>
      <c r="E21" s="42"/>
      <c r="F21" s="42"/>
      <c r="G21" s="42"/>
      <c r="H21" s="42"/>
      <c r="I21" s="42"/>
    </row>
    <row r="22" spans="1:9" s="1" customFormat="1" ht="15.15" customHeight="1" x14ac:dyDescent="0.25">
      <c r="A22" s="1" t="s">
        <v>325</v>
      </c>
    </row>
    <row r="23" spans="1:9" ht="15.15" customHeight="1" x14ac:dyDescent="0.25">
      <c r="A23" t="s">
        <v>24</v>
      </c>
    </row>
    <row r="24" spans="1:9" ht="15.15" customHeight="1" x14ac:dyDescent="0.25">
      <c r="A24" t="s">
        <v>326</v>
      </c>
    </row>
    <row r="25" spans="1:9" ht="15.15" customHeight="1" x14ac:dyDescent="0.25">
      <c r="A25" t="s">
        <v>327</v>
      </c>
    </row>
    <row r="26" spans="1:9" ht="15.15" customHeight="1" x14ac:dyDescent="0.25">
      <c r="A26" t="s">
        <v>25</v>
      </c>
    </row>
    <row r="27" spans="1:9" ht="15.15" customHeight="1" x14ac:dyDescent="0.25">
      <c r="A27" t="s">
        <v>26</v>
      </c>
    </row>
    <row r="28" spans="1:9" ht="15.15" customHeight="1" x14ac:dyDescent="0.25">
      <c r="A28" t="s">
        <v>50</v>
      </c>
    </row>
    <row r="30" spans="1:9" ht="15.15" customHeight="1" x14ac:dyDescent="0.25">
      <c r="A30" t="s">
        <v>27</v>
      </c>
      <c r="B30" t="s">
        <v>28</v>
      </c>
      <c r="C30" t="s">
        <v>49</v>
      </c>
      <c r="D30" t="s">
        <v>30</v>
      </c>
      <c r="E30" t="s">
        <v>31</v>
      </c>
      <c r="F30" t="s">
        <v>29</v>
      </c>
      <c r="G30" t="s">
        <v>32</v>
      </c>
      <c r="H30" t="s">
        <v>33</v>
      </c>
      <c r="I30" t="s">
        <v>34</v>
      </c>
    </row>
    <row r="31" spans="1:9" ht="15.15" customHeight="1" x14ac:dyDescent="0.25">
      <c r="A31" t="s">
        <v>35</v>
      </c>
      <c r="B31">
        <v>2017</v>
      </c>
      <c r="C31" s="4" t="s">
        <v>51</v>
      </c>
      <c r="D31" t="s">
        <v>36</v>
      </c>
      <c r="E31" t="s">
        <v>36</v>
      </c>
      <c r="F31" t="s">
        <v>52</v>
      </c>
      <c r="G31">
        <v>867.06754014611704</v>
      </c>
      <c r="H31">
        <v>27543.330899836601</v>
      </c>
      <c r="I31">
        <v>10005.8391989467</v>
      </c>
    </row>
    <row r="33" spans="1:11" ht="15.15" customHeight="1" x14ac:dyDescent="0.25">
      <c r="G33" s="12">
        <f>H31/G31</f>
        <v>31.766073142577838</v>
      </c>
      <c r="H33" t="s">
        <v>109</v>
      </c>
    </row>
    <row r="34" spans="1:11" ht="15.15" customHeight="1" x14ac:dyDescent="0.25">
      <c r="G34" s="8">
        <f>G33*365</f>
        <v>11594.61669704091</v>
      </c>
      <c r="H34" t="s">
        <v>110</v>
      </c>
      <c r="K34" t="s">
        <v>330</v>
      </c>
    </row>
    <row r="36" spans="1:11" ht="15.15" customHeight="1" x14ac:dyDescent="0.25">
      <c r="A36" s="1" t="s">
        <v>88</v>
      </c>
    </row>
    <row r="37" spans="1:11" ht="15.15" customHeight="1" x14ac:dyDescent="0.25">
      <c r="A37" s="37" t="s">
        <v>329</v>
      </c>
    </row>
  </sheetData>
  <hyperlinks>
    <hyperlink ref="A37" r:id="rId1"/>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O37"/>
  <sheetViews>
    <sheetView workbookViewId="0">
      <selection activeCell="B13" sqref="B13:B14"/>
    </sheetView>
  </sheetViews>
  <sheetFormatPr defaultRowHeight="15.15" customHeight="1" x14ac:dyDescent="0.25"/>
  <cols>
    <col min="1" max="1" width="27.7109375" customWidth="1"/>
    <col min="2" max="2" width="10.5703125" customWidth="1"/>
    <col min="3" max="3" width="15.5703125" customWidth="1"/>
    <col min="4" max="4" width="35.42578125" customWidth="1"/>
    <col min="5" max="5" width="15.5703125" customWidth="1"/>
  </cols>
  <sheetData>
    <row r="1" spans="1:15" ht="15.15" customHeight="1" x14ac:dyDescent="0.25">
      <c r="A1" s="71" t="s">
        <v>272</v>
      </c>
      <c r="D1" s="1"/>
      <c r="E1" s="1"/>
      <c r="O1" s="1"/>
    </row>
    <row r="2" spans="1:15" ht="15.15" customHeight="1" x14ac:dyDescent="0.25">
      <c r="B2" s="1" t="s">
        <v>141</v>
      </c>
      <c r="C2" s="1" t="s">
        <v>142</v>
      </c>
      <c r="D2" s="1" t="s">
        <v>11</v>
      </c>
    </row>
    <row r="3" spans="1:15" ht="15.15" customHeight="1" x14ac:dyDescent="0.25">
      <c r="A3" s="60" t="s">
        <v>71</v>
      </c>
      <c r="B3" s="31">
        <v>1000000</v>
      </c>
      <c r="D3" s="5" t="s">
        <v>150</v>
      </c>
    </row>
    <row r="4" spans="1:15" ht="15.15" customHeight="1" x14ac:dyDescent="0.25">
      <c r="A4" s="61" t="s">
        <v>65</v>
      </c>
      <c r="B4" s="74">
        <v>0.15</v>
      </c>
    </row>
    <row r="5" spans="1:15" ht="15.15" customHeight="1" x14ac:dyDescent="0.25">
      <c r="A5" s="60" t="s">
        <v>96</v>
      </c>
      <c r="B5" s="31">
        <f>B3*(1-B4)</f>
        <v>850000</v>
      </c>
    </row>
    <row r="7" spans="1:15" ht="15.15" customHeight="1" x14ac:dyDescent="0.25">
      <c r="A7" s="71" t="s">
        <v>143</v>
      </c>
    </row>
    <row r="8" spans="1:15" ht="15.15" customHeight="1" x14ac:dyDescent="0.25">
      <c r="A8" s="60" t="s">
        <v>256</v>
      </c>
      <c r="B8" s="64">
        <v>143750</v>
      </c>
      <c r="C8" s="75"/>
      <c r="D8" s="4" t="s">
        <v>302</v>
      </c>
    </row>
    <row r="9" spans="1:15" ht="15.15" customHeight="1" x14ac:dyDescent="0.25">
      <c r="A9" s="60" t="s">
        <v>220</v>
      </c>
      <c r="B9" s="87">
        <f>B5/B8</f>
        <v>5.9130434782608692</v>
      </c>
      <c r="C9" s="33" t="s">
        <v>182</v>
      </c>
    </row>
    <row r="10" spans="1:15" ht="15.15" customHeight="1" x14ac:dyDescent="0.25">
      <c r="A10" s="69" t="s">
        <v>66</v>
      </c>
      <c r="B10" s="35">
        <v>15</v>
      </c>
      <c r="C10" s="33"/>
      <c r="D10" s="4" t="s">
        <v>209</v>
      </c>
    </row>
    <row r="12" spans="1:15" ht="15.15" customHeight="1" x14ac:dyDescent="0.25">
      <c r="A12" s="71" t="s">
        <v>145</v>
      </c>
      <c r="B12" s="33"/>
      <c r="C12" s="33"/>
      <c r="D12" s="33"/>
      <c r="E12" s="33"/>
      <c r="F12" s="33"/>
      <c r="G12" s="33"/>
      <c r="H12" s="33"/>
      <c r="I12" s="33"/>
    </row>
    <row r="13" spans="1:15" ht="15.15" customHeight="1" x14ac:dyDescent="0.25">
      <c r="A13" s="61" t="s">
        <v>69</v>
      </c>
      <c r="B13" s="35">
        <v>2309</v>
      </c>
      <c r="C13" s="33" t="s">
        <v>73</v>
      </c>
      <c r="D13" s="4" t="s">
        <v>209</v>
      </c>
      <c r="E13" t="s">
        <v>303</v>
      </c>
      <c r="F13" s="33"/>
      <c r="G13" s="33"/>
      <c r="H13" s="33"/>
      <c r="I13" s="33"/>
    </row>
    <row r="14" spans="1:15" ht="15.15" customHeight="1" x14ac:dyDescent="0.25">
      <c r="A14" s="61" t="s">
        <v>70</v>
      </c>
      <c r="B14" s="35">
        <v>476</v>
      </c>
      <c r="C14" s="33" t="s">
        <v>73</v>
      </c>
      <c r="D14" s="4" t="s">
        <v>209</v>
      </c>
      <c r="E14" t="s">
        <v>122</v>
      </c>
      <c r="F14" s="33"/>
      <c r="G14" s="33"/>
      <c r="H14" s="33"/>
      <c r="I14" s="33"/>
    </row>
    <row r="15" spans="1:15" ht="15.15" customHeight="1" x14ac:dyDescent="0.25">
      <c r="A15" s="61" t="s">
        <v>101</v>
      </c>
      <c r="B15" s="35">
        <f>G34</f>
        <v>34375.530784436181</v>
      </c>
      <c r="C15" s="33" t="s">
        <v>168</v>
      </c>
      <c r="D15" s="33" t="s">
        <v>328</v>
      </c>
      <c r="E15" s="33"/>
      <c r="F15" s="33"/>
      <c r="G15" s="33"/>
      <c r="H15" s="33"/>
      <c r="I15" s="33"/>
    </row>
    <row r="16" spans="1:15" ht="15.15" customHeight="1" x14ac:dyDescent="0.25">
      <c r="A16" s="42"/>
      <c r="B16" s="39"/>
      <c r="C16" s="33"/>
      <c r="D16" s="33"/>
      <c r="E16" s="33"/>
      <c r="F16" s="33"/>
      <c r="G16" s="33"/>
      <c r="H16" s="33"/>
      <c r="I16" s="33"/>
    </row>
    <row r="17" spans="1:9" ht="15.15" customHeight="1" x14ac:dyDescent="0.25">
      <c r="A17" s="61" t="s">
        <v>175</v>
      </c>
      <c r="B17" s="87">
        <f>(B13-B14)*B15/1000000</f>
        <v>63.010347927871521</v>
      </c>
      <c r="C17" s="33" t="s">
        <v>167</v>
      </c>
      <c r="D17" s="33"/>
      <c r="E17" s="33"/>
      <c r="F17" s="33"/>
      <c r="G17" s="33"/>
      <c r="H17" s="33"/>
      <c r="I17" s="33"/>
    </row>
    <row r="18" spans="1:9" ht="15.15" customHeight="1" x14ac:dyDescent="0.25">
      <c r="A18" s="69" t="s">
        <v>155</v>
      </c>
      <c r="B18" s="35">
        <f>B9*B17</f>
        <v>372.58292687784899</v>
      </c>
      <c r="C18" s="33" t="s">
        <v>118</v>
      </c>
      <c r="D18" s="33"/>
      <c r="E18" s="33"/>
      <c r="F18" s="33"/>
      <c r="G18" s="33"/>
      <c r="H18" s="33"/>
      <c r="I18" s="33"/>
    </row>
    <row r="19" spans="1:9" ht="15.15" customHeight="1" x14ac:dyDescent="0.25">
      <c r="A19" s="69" t="s">
        <v>67</v>
      </c>
      <c r="B19" s="35">
        <f>B18*B10</f>
        <v>5588.743903167735</v>
      </c>
      <c r="C19" s="33" t="s">
        <v>107</v>
      </c>
      <c r="D19" s="33"/>
      <c r="E19" s="33"/>
      <c r="F19" s="33"/>
      <c r="G19" s="33"/>
      <c r="H19" s="33"/>
      <c r="I19" s="33"/>
    </row>
    <row r="20" spans="1:9" ht="15.15" customHeight="1" x14ac:dyDescent="0.25">
      <c r="C20" s="33"/>
      <c r="D20" s="33"/>
      <c r="E20" s="33"/>
      <c r="F20" s="33"/>
    </row>
    <row r="21" spans="1:9" ht="15.15" customHeight="1" x14ac:dyDescent="0.25">
      <c r="C21" s="33"/>
      <c r="D21" s="33"/>
      <c r="E21" s="33"/>
      <c r="F21" s="33"/>
    </row>
    <row r="22" spans="1:9" ht="15.15" customHeight="1" x14ac:dyDescent="0.25">
      <c r="A22" s="1" t="s">
        <v>325</v>
      </c>
    </row>
    <row r="23" spans="1:9" ht="15.15" customHeight="1" x14ac:dyDescent="0.25">
      <c r="A23" t="s">
        <v>24</v>
      </c>
    </row>
    <row r="24" spans="1:9" ht="15.15" customHeight="1" x14ac:dyDescent="0.25">
      <c r="A24" t="s">
        <v>326</v>
      </c>
    </row>
    <row r="25" spans="1:9" ht="15.15" customHeight="1" x14ac:dyDescent="0.25">
      <c r="A25" t="s">
        <v>327</v>
      </c>
    </row>
    <row r="26" spans="1:9" ht="15.15" customHeight="1" x14ac:dyDescent="0.25">
      <c r="A26" t="s">
        <v>25</v>
      </c>
    </row>
    <row r="27" spans="1:9" ht="15.15" customHeight="1" x14ac:dyDescent="0.25">
      <c r="A27" t="s">
        <v>26</v>
      </c>
    </row>
    <row r="28" spans="1:9" ht="15.15" customHeight="1" x14ac:dyDescent="0.25">
      <c r="A28" t="s">
        <v>50</v>
      </c>
    </row>
    <row r="30" spans="1:9" ht="15.15" customHeight="1" x14ac:dyDescent="0.25">
      <c r="A30" t="s">
        <v>27</v>
      </c>
      <c r="B30" t="s">
        <v>28</v>
      </c>
      <c r="C30" t="s">
        <v>49</v>
      </c>
      <c r="D30" t="s">
        <v>30</v>
      </c>
      <c r="E30" t="s">
        <v>31</v>
      </c>
      <c r="F30" t="s">
        <v>29</v>
      </c>
      <c r="G30" t="s">
        <v>32</v>
      </c>
      <c r="H30" t="s">
        <v>33</v>
      </c>
      <c r="I30" t="s">
        <v>34</v>
      </c>
    </row>
    <row r="31" spans="1:9" ht="15.15" customHeight="1" x14ac:dyDescent="0.25">
      <c r="A31" t="s">
        <v>35</v>
      </c>
      <c r="B31">
        <v>2019</v>
      </c>
      <c r="C31" s="4" t="s">
        <v>85</v>
      </c>
      <c r="D31" t="s">
        <v>36</v>
      </c>
      <c r="E31" t="s">
        <v>36</v>
      </c>
      <c r="F31" t="s">
        <v>52</v>
      </c>
      <c r="G31" s="14">
        <v>123.64537347135899</v>
      </c>
      <c r="H31" s="14">
        <v>11644.863951007699</v>
      </c>
      <c r="I31" s="54">
        <v>494.58149388543802</v>
      </c>
    </row>
    <row r="33" spans="1:11" ht="15.15" customHeight="1" x14ac:dyDescent="0.25">
      <c r="G33" s="12">
        <f>H31/G31</f>
        <v>94.179536395715573</v>
      </c>
      <c r="H33" t="s">
        <v>112</v>
      </c>
    </row>
    <row r="34" spans="1:11" ht="15.15" customHeight="1" x14ac:dyDescent="0.25">
      <c r="G34" s="8">
        <f>G33*365</f>
        <v>34375.530784436181</v>
      </c>
      <c r="H34" t="s">
        <v>111</v>
      </c>
      <c r="K34" t="s">
        <v>331</v>
      </c>
    </row>
    <row r="36" spans="1:11" ht="15.15" customHeight="1" x14ac:dyDescent="0.25">
      <c r="A36" s="1" t="s">
        <v>88</v>
      </c>
    </row>
    <row r="37" spans="1:11" ht="15.15" customHeight="1" x14ac:dyDescent="0.25">
      <c r="A37" s="37" t="s">
        <v>329</v>
      </c>
    </row>
  </sheetData>
  <hyperlinks>
    <hyperlink ref="A37" r:id="rId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O25"/>
  <sheetViews>
    <sheetView workbookViewId="0">
      <selection activeCell="B19" sqref="B19"/>
    </sheetView>
  </sheetViews>
  <sheetFormatPr defaultRowHeight="15.15" customHeight="1" x14ac:dyDescent="0.25"/>
  <cols>
    <col min="1" max="1" width="27.7109375" customWidth="1"/>
    <col min="2" max="2" width="10.5703125" customWidth="1"/>
    <col min="3" max="3" width="15.5703125" customWidth="1"/>
    <col min="4" max="4" width="35.42578125" customWidth="1"/>
    <col min="5" max="5" width="15.5703125" customWidth="1"/>
  </cols>
  <sheetData>
    <row r="1" spans="1:15" ht="15.15" customHeight="1" x14ac:dyDescent="0.25">
      <c r="A1" s="71" t="s">
        <v>275</v>
      </c>
      <c r="D1" s="1"/>
      <c r="E1" s="1"/>
      <c r="O1" s="1"/>
    </row>
    <row r="2" spans="1:15" ht="15.15" customHeight="1" x14ac:dyDescent="0.25">
      <c r="B2" s="1" t="s">
        <v>141</v>
      </c>
      <c r="C2" s="1" t="s">
        <v>142</v>
      </c>
      <c r="D2" s="1" t="s">
        <v>11</v>
      </c>
      <c r="E2" s="1" t="s">
        <v>37</v>
      </c>
    </row>
    <row r="3" spans="1:15" ht="15.15" customHeight="1" x14ac:dyDescent="0.25">
      <c r="A3" s="60" t="s">
        <v>71</v>
      </c>
      <c r="B3" s="31">
        <v>1000000</v>
      </c>
      <c r="D3" s="5" t="s">
        <v>150</v>
      </c>
    </row>
    <row r="4" spans="1:15" ht="15.15" customHeight="1" x14ac:dyDescent="0.25">
      <c r="A4" s="61" t="s">
        <v>65</v>
      </c>
      <c r="B4" s="74">
        <v>0.15</v>
      </c>
    </row>
    <row r="5" spans="1:15" ht="15.15" customHeight="1" x14ac:dyDescent="0.25">
      <c r="A5" s="60" t="s">
        <v>96</v>
      </c>
      <c r="B5" s="31">
        <f>B3*(1-B4)</f>
        <v>850000</v>
      </c>
    </row>
    <row r="7" spans="1:15" ht="15.15" customHeight="1" x14ac:dyDescent="0.25">
      <c r="A7" s="71" t="s">
        <v>143</v>
      </c>
    </row>
    <row r="8" spans="1:15" ht="15.15" customHeight="1" x14ac:dyDescent="0.25">
      <c r="A8" s="60" t="s">
        <v>274</v>
      </c>
      <c r="B8" s="64">
        <v>10000</v>
      </c>
      <c r="C8" s="75"/>
      <c r="D8" s="4" t="s">
        <v>341</v>
      </c>
    </row>
    <row r="9" spans="1:15" ht="15.15" customHeight="1" x14ac:dyDescent="0.25">
      <c r="A9" s="60" t="s">
        <v>181</v>
      </c>
      <c r="B9" s="35">
        <f>B5/B8</f>
        <v>85</v>
      </c>
      <c r="C9" s="33" t="s">
        <v>276</v>
      </c>
    </row>
    <row r="10" spans="1:15" ht="15.15" customHeight="1" x14ac:dyDescent="0.25">
      <c r="A10" s="69" t="s">
        <v>66</v>
      </c>
      <c r="B10" s="35">
        <v>3</v>
      </c>
      <c r="C10" s="33"/>
      <c r="D10" s="4" t="s">
        <v>209</v>
      </c>
      <c r="E10" t="s">
        <v>285</v>
      </c>
    </row>
    <row r="12" spans="1:15" ht="15.15" customHeight="1" x14ac:dyDescent="0.25">
      <c r="A12" s="71" t="s">
        <v>145</v>
      </c>
      <c r="B12" s="33"/>
      <c r="C12" s="33"/>
      <c r="D12" s="33"/>
      <c r="E12" s="33"/>
      <c r="F12" s="33"/>
      <c r="G12" s="33"/>
      <c r="H12" s="33"/>
      <c r="I12" s="33"/>
    </row>
    <row r="13" spans="1:15" ht="15.15" customHeight="1" x14ac:dyDescent="0.25">
      <c r="A13" s="61" t="s">
        <v>69</v>
      </c>
      <c r="B13" s="35">
        <v>1540</v>
      </c>
      <c r="C13" s="33" t="s">
        <v>73</v>
      </c>
      <c r="D13" s="4" t="s">
        <v>209</v>
      </c>
      <c r="E13" t="s">
        <v>313</v>
      </c>
      <c r="F13" s="33"/>
      <c r="G13" s="33"/>
      <c r="H13" s="33"/>
      <c r="I13" s="33"/>
    </row>
    <row r="14" spans="1:15" ht="15.15" customHeight="1" x14ac:dyDescent="0.25">
      <c r="A14" s="61" t="s">
        <v>277</v>
      </c>
      <c r="B14" s="35">
        <v>315</v>
      </c>
      <c r="C14" s="33" t="s">
        <v>73</v>
      </c>
      <c r="D14" s="4" t="s">
        <v>314</v>
      </c>
      <c r="E14" t="s">
        <v>315</v>
      </c>
      <c r="F14" s="33"/>
      <c r="G14" s="33"/>
      <c r="H14" s="33"/>
      <c r="I14" s="33"/>
    </row>
    <row r="15" spans="1:15" ht="15.15" customHeight="1" x14ac:dyDescent="0.25">
      <c r="A15" s="61" t="s">
        <v>101</v>
      </c>
      <c r="B15" s="35">
        <v>25000</v>
      </c>
      <c r="C15" s="33" t="s">
        <v>168</v>
      </c>
      <c r="D15" s="4" t="s">
        <v>209</v>
      </c>
      <c r="E15" s="33"/>
      <c r="F15" s="33"/>
      <c r="G15" s="33"/>
      <c r="H15" s="33"/>
      <c r="I15" s="33"/>
    </row>
    <row r="16" spans="1:15" ht="15.15" customHeight="1" x14ac:dyDescent="0.25">
      <c r="A16" s="42"/>
      <c r="B16" s="39"/>
      <c r="C16" s="33"/>
      <c r="D16" s="33"/>
      <c r="E16" s="33"/>
      <c r="F16" s="33"/>
      <c r="G16" s="33"/>
      <c r="H16" s="33"/>
      <c r="I16" s="33"/>
    </row>
    <row r="17" spans="1:9" ht="15.15" customHeight="1" x14ac:dyDescent="0.25">
      <c r="A17" s="61" t="s">
        <v>175</v>
      </c>
      <c r="B17" s="35">
        <f>(B13-B14)*B15/1000000</f>
        <v>30.625</v>
      </c>
      <c r="C17" s="33" t="s">
        <v>278</v>
      </c>
      <c r="D17" s="33"/>
      <c r="E17" s="33"/>
      <c r="F17" s="33"/>
      <c r="G17" s="33"/>
      <c r="H17" s="33"/>
      <c r="I17" s="33"/>
    </row>
    <row r="18" spans="1:9" ht="15.15" customHeight="1" x14ac:dyDescent="0.25">
      <c r="A18" s="69" t="s">
        <v>155</v>
      </c>
      <c r="B18" s="35">
        <f>B9*B17</f>
        <v>2603.125</v>
      </c>
      <c r="C18" s="33" t="s">
        <v>118</v>
      </c>
      <c r="D18" s="33"/>
      <c r="E18" s="33"/>
      <c r="F18" s="33"/>
      <c r="G18" s="33"/>
      <c r="H18" s="33"/>
      <c r="I18" s="33"/>
    </row>
    <row r="19" spans="1:9" ht="15.15" customHeight="1" x14ac:dyDescent="0.25">
      <c r="A19" s="69" t="s">
        <v>67</v>
      </c>
      <c r="B19" s="35">
        <f>B18*B10</f>
        <v>7809.375</v>
      </c>
      <c r="C19" s="33" t="s">
        <v>107</v>
      </c>
      <c r="D19" s="33"/>
      <c r="E19" s="33"/>
      <c r="F19" s="33"/>
      <c r="G19" s="33"/>
      <c r="H19" s="33"/>
      <c r="I19" s="33"/>
    </row>
    <row r="20" spans="1:9" ht="15.15" customHeight="1" x14ac:dyDescent="0.25">
      <c r="C20" s="33"/>
      <c r="D20" s="33"/>
      <c r="E20" s="33"/>
      <c r="F20" s="33"/>
    </row>
    <row r="21" spans="1:9" ht="15.15" customHeight="1" x14ac:dyDescent="0.25">
      <c r="C21" s="33"/>
      <c r="D21" s="33"/>
      <c r="E21" s="33"/>
      <c r="F21" s="33"/>
    </row>
    <row r="23" spans="1:9" ht="15.15" customHeight="1" x14ac:dyDescent="0.25">
      <c r="A23" s="1" t="s">
        <v>88</v>
      </c>
    </row>
    <row r="24" spans="1:9" ht="15.15" customHeight="1" x14ac:dyDescent="0.25">
      <c r="A24" s="37" t="s">
        <v>301</v>
      </c>
    </row>
    <row r="25" spans="1:9" ht="15.15" customHeight="1" x14ac:dyDescent="0.25">
      <c r="A25" s="37" t="s">
        <v>286</v>
      </c>
    </row>
  </sheetData>
  <hyperlinks>
    <hyperlink ref="A25" r:id="rId1" display="https://www.arb.ca.gov/fuels/lcfs/ca-greet/ca-greet.htm"/>
    <hyperlink ref="A24" r:id="rId2"/>
  </hyperlinks>
  <pageMargins left="0.7" right="0.7" top="0.75" bottom="0.75" header="0.3" footer="0.3"/>
  <pageSetup orientation="portrait" r:id="rId3"/>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E35"/>
  <sheetViews>
    <sheetView workbookViewId="0"/>
  </sheetViews>
  <sheetFormatPr defaultRowHeight="15.15" customHeight="1" x14ac:dyDescent="0.25"/>
  <cols>
    <col min="1" max="1" width="27.7109375" customWidth="1"/>
    <col min="2" max="2" width="10.5703125" customWidth="1"/>
    <col min="3" max="3" width="15.5703125" customWidth="1"/>
    <col min="4" max="4" width="57.85546875" customWidth="1"/>
  </cols>
  <sheetData>
    <row r="1" spans="1:5" ht="15.15" customHeight="1" x14ac:dyDescent="0.25">
      <c r="A1" s="71" t="s">
        <v>332</v>
      </c>
      <c r="D1" s="1"/>
      <c r="E1" s="1"/>
    </row>
    <row r="2" spans="1:5" ht="15.15" customHeight="1" x14ac:dyDescent="0.25">
      <c r="A2" s="1"/>
      <c r="B2" s="1" t="s">
        <v>141</v>
      </c>
      <c r="C2" s="1" t="s">
        <v>142</v>
      </c>
      <c r="D2" s="1" t="s">
        <v>11</v>
      </c>
      <c r="E2" s="1" t="s">
        <v>37</v>
      </c>
    </row>
    <row r="3" spans="1:5" ht="15.15" customHeight="1" x14ac:dyDescent="0.25">
      <c r="A3" s="60" t="s">
        <v>71</v>
      </c>
      <c r="B3" s="31">
        <v>1000000</v>
      </c>
      <c r="D3" s="5" t="s">
        <v>150</v>
      </c>
      <c r="E3" s="1"/>
    </row>
    <row r="4" spans="1:5" ht="15.15" customHeight="1" x14ac:dyDescent="0.25">
      <c r="A4" s="61" t="s">
        <v>65</v>
      </c>
      <c r="B4" s="53">
        <v>0.15</v>
      </c>
      <c r="D4" s="1"/>
      <c r="E4" s="1"/>
    </row>
    <row r="5" spans="1:5" ht="15.15" customHeight="1" x14ac:dyDescent="0.25">
      <c r="A5" s="60" t="s">
        <v>96</v>
      </c>
      <c r="B5" s="31">
        <f>B3*(1-B4)</f>
        <v>850000</v>
      </c>
      <c r="D5" s="1"/>
      <c r="E5" s="1"/>
    </row>
    <row r="6" spans="1:5" ht="15.15" customHeight="1" x14ac:dyDescent="0.25">
      <c r="A6" s="1"/>
      <c r="D6" s="1"/>
      <c r="E6" s="1"/>
    </row>
    <row r="7" spans="1:5" ht="15.15" customHeight="1" x14ac:dyDescent="0.25">
      <c r="A7" s="71" t="s">
        <v>143</v>
      </c>
      <c r="D7" s="1"/>
      <c r="E7" s="1"/>
    </row>
    <row r="8" spans="1:5" ht="15.15" customHeight="1" x14ac:dyDescent="0.25">
      <c r="A8" s="61" t="s">
        <v>164</v>
      </c>
      <c r="B8" s="64">
        <v>10000</v>
      </c>
    </row>
    <row r="9" spans="1:5" ht="15.15" customHeight="1" x14ac:dyDescent="0.25">
      <c r="A9" s="60" t="s">
        <v>72</v>
      </c>
      <c r="B9" s="36">
        <f>B5/B8</f>
        <v>85</v>
      </c>
      <c r="C9" t="s">
        <v>179</v>
      </c>
    </row>
    <row r="10" spans="1:5" ht="15.15" customHeight="1" x14ac:dyDescent="0.25">
      <c r="A10" s="69" t="s">
        <v>66</v>
      </c>
      <c r="B10" s="35">
        <v>15</v>
      </c>
    </row>
    <row r="11" spans="1:5" ht="15.15" customHeight="1" x14ac:dyDescent="0.25">
      <c r="A11" s="1"/>
      <c r="D11" s="1"/>
      <c r="E11" s="1"/>
    </row>
    <row r="12" spans="1:5" ht="15.15" customHeight="1" x14ac:dyDescent="0.25">
      <c r="A12" s="71" t="s">
        <v>145</v>
      </c>
      <c r="D12" s="1"/>
      <c r="E12" s="1"/>
    </row>
    <row r="13" spans="1:5" ht="15.15" customHeight="1" x14ac:dyDescent="0.25">
      <c r="A13" s="3" t="s">
        <v>53</v>
      </c>
      <c r="B13" s="4">
        <v>7.2</v>
      </c>
      <c r="C13" t="s">
        <v>174</v>
      </c>
      <c r="D13" s="48" t="s">
        <v>54</v>
      </c>
      <c r="E13" s="5" t="s">
        <v>55</v>
      </c>
    </row>
    <row r="14" spans="1:5" ht="15.15" customHeight="1" x14ac:dyDescent="0.25">
      <c r="A14" s="3" t="s">
        <v>15</v>
      </c>
      <c r="B14" s="4">
        <f>(6.6+8.36)/2</f>
        <v>7.4799999999999995</v>
      </c>
      <c r="C14" t="s">
        <v>58</v>
      </c>
      <c r="D14" s="4" t="s">
        <v>190</v>
      </c>
    </row>
    <row r="15" spans="1:5" ht="15.15" customHeight="1" x14ac:dyDescent="0.25">
      <c r="A15" s="3" t="s">
        <v>61</v>
      </c>
      <c r="B15" s="44">
        <f>(B14*$B$30)/(B13*8760*2)</f>
        <v>5.9297311009639767E-2</v>
      </c>
      <c r="D15" s="34"/>
      <c r="E15" s="5"/>
    </row>
    <row r="16" spans="1:5" ht="15.15" customHeight="1" x14ac:dyDescent="0.25">
      <c r="B16" s="4"/>
      <c r="D16" s="34"/>
      <c r="E16" s="1"/>
    </row>
    <row r="17" spans="1:5" ht="15.15" customHeight="1" x14ac:dyDescent="0.25">
      <c r="A17" s="3" t="s">
        <v>41</v>
      </c>
      <c r="B17" s="45">
        <v>4</v>
      </c>
      <c r="C17" t="s">
        <v>59</v>
      </c>
      <c r="D17" s="4" t="s">
        <v>38</v>
      </c>
    </row>
    <row r="18" spans="1:5" ht="15.15" customHeight="1" x14ac:dyDescent="0.25">
      <c r="A18" s="3" t="s">
        <v>22</v>
      </c>
      <c r="B18" s="46">
        <f>B17*B14*$B$30</f>
        <v>29919.999999999996</v>
      </c>
      <c r="C18" t="s">
        <v>56</v>
      </c>
      <c r="D18" s="4"/>
    </row>
    <row r="19" spans="1:5" ht="15.15" customHeight="1" x14ac:dyDescent="0.25">
      <c r="B19" s="4"/>
      <c r="D19" s="4"/>
    </row>
    <row r="20" spans="1:5" ht="15.15" customHeight="1" x14ac:dyDescent="0.25">
      <c r="A20" s="3" t="s">
        <v>94</v>
      </c>
      <c r="B20" s="47">
        <f>ZEV!B13</f>
        <v>382</v>
      </c>
      <c r="C20" s="33" t="s">
        <v>73</v>
      </c>
      <c r="D20" s="4" t="s">
        <v>191</v>
      </c>
      <c r="E20" t="s">
        <v>121</v>
      </c>
    </row>
    <row r="21" spans="1:5" ht="15.15" customHeight="1" x14ac:dyDescent="0.25">
      <c r="A21" s="3" t="s">
        <v>20</v>
      </c>
      <c r="B21" s="47">
        <v>120</v>
      </c>
      <c r="C21" s="33" t="s">
        <v>73</v>
      </c>
      <c r="D21" s="4" t="s">
        <v>191</v>
      </c>
      <c r="E21" t="s">
        <v>122</v>
      </c>
    </row>
    <row r="22" spans="1:5" ht="15.15" customHeight="1" x14ac:dyDescent="0.25">
      <c r="A22" s="69" t="s">
        <v>154</v>
      </c>
      <c r="B22" s="36">
        <f>B20-B21</f>
        <v>262</v>
      </c>
      <c r="C22" s="33" t="s">
        <v>73</v>
      </c>
    </row>
    <row r="23" spans="1:5" ht="15.15" customHeight="1" x14ac:dyDescent="0.25">
      <c r="B23" s="4"/>
      <c r="D23" s="4"/>
    </row>
    <row r="24" spans="1:5" ht="15.15" customHeight="1" x14ac:dyDescent="0.25">
      <c r="A24" s="61" t="s">
        <v>175</v>
      </c>
      <c r="B24" s="43">
        <f>B18*B22/$B$32/$B$31</f>
        <v>7.8389174620422324</v>
      </c>
      <c r="C24" s="33" t="s">
        <v>119</v>
      </c>
      <c r="D24" s="4"/>
    </row>
    <row r="25" spans="1:5" ht="15.15" customHeight="1" x14ac:dyDescent="0.25">
      <c r="A25" s="69" t="s">
        <v>155</v>
      </c>
      <c r="B25" s="36">
        <f>B9*B24</f>
        <v>666.3079842735898</v>
      </c>
      <c r="C25" t="s">
        <v>118</v>
      </c>
    </row>
    <row r="26" spans="1:5" ht="15.15" customHeight="1" x14ac:dyDescent="0.25">
      <c r="A26" s="69" t="s">
        <v>156</v>
      </c>
      <c r="B26" s="36">
        <f>B25*B10</f>
        <v>9994.619764103847</v>
      </c>
      <c r="C26" t="s">
        <v>107</v>
      </c>
    </row>
    <row r="29" spans="1:5" ht="15.15" customHeight="1" x14ac:dyDescent="0.25">
      <c r="B29" s="1" t="s">
        <v>13</v>
      </c>
    </row>
    <row r="30" spans="1:5" ht="15.15" customHeight="1" x14ac:dyDescent="0.25">
      <c r="B30" s="2">
        <v>1000</v>
      </c>
      <c r="C30" t="s">
        <v>23</v>
      </c>
    </row>
    <row r="31" spans="1:5" ht="15.15" customHeight="1" x14ac:dyDescent="0.25">
      <c r="B31">
        <v>2204.62</v>
      </c>
      <c r="C31" t="s">
        <v>14</v>
      </c>
    </row>
    <row r="32" spans="1:5" ht="15.15" customHeight="1" x14ac:dyDescent="0.25">
      <c r="B32">
        <v>453.6</v>
      </c>
      <c r="C32" t="s">
        <v>19</v>
      </c>
    </row>
    <row r="34" spans="1:1" ht="15.15" customHeight="1" x14ac:dyDescent="0.25">
      <c r="A34" s="1" t="s">
        <v>88</v>
      </c>
    </row>
    <row r="35" spans="1:1" ht="15.15" customHeight="1" x14ac:dyDescent="0.25">
      <c r="A35" s="37" t="s">
        <v>252</v>
      </c>
    </row>
  </sheetData>
  <hyperlinks>
    <hyperlink ref="D13" r:id="rId1"/>
    <hyperlink ref="A35" r:id="rId2" display="https://www.arb.ca.gov/cc/capandtrade/auctionproceeds/arb_cbld_finalqm_16-17.pdf"/>
  </hyperlinks>
  <pageMargins left="0.7" right="0.7" top="0.75" bottom="0.75" header="0.3" footer="0.3"/>
  <pageSetup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37"/>
  <sheetViews>
    <sheetView workbookViewId="0">
      <selection activeCell="A2" sqref="A2"/>
    </sheetView>
  </sheetViews>
  <sheetFormatPr defaultRowHeight="15.15" customHeight="1" x14ac:dyDescent="0.25"/>
  <cols>
    <col min="1" max="1" width="27.7109375" customWidth="1"/>
    <col min="2" max="2" width="10.5703125" customWidth="1"/>
    <col min="3" max="3" width="15.5703125" customWidth="1"/>
    <col min="4" max="4" width="33.85546875" customWidth="1"/>
    <col min="5" max="5" width="29.85546875" customWidth="1"/>
  </cols>
  <sheetData>
    <row r="1" spans="1:8" ht="15.15" customHeight="1" x14ac:dyDescent="0.25">
      <c r="A1" s="71" t="s">
        <v>333</v>
      </c>
      <c r="E1" s="1"/>
      <c r="F1" s="1"/>
    </row>
    <row r="2" spans="1:8" ht="15.15" customHeight="1" x14ac:dyDescent="0.25">
      <c r="A2" s="1"/>
      <c r="B2" s="1" t="s">
        <v>141</v>
      </c>
      <c r="C2" s="1" t="s">
        <v>142</v>
      </c>
      <c r="D2" s="1" t="s">
        <v>11</v>
      </c>
      <c r="E2" s="1" t="s">
        <v>37</v>
      </c>
      <c r="F2" s="1"/>
    </row>
    <row r="3" spans="1:8" ht="15.15" customHeight="1" x14ac:dyDescent="0.25">
      <c r="A3" s="60" t="s">
        <v>71</v>
      </c>
      <c r="B3" s="76">
        <v>1000000</v>
      </c>
      <c r="D3" s="5" t="s">
        <v>150</v>
      </c>
      <c r="E3" s="1"/>
      <c r="F3" s="1"/>
    </row>
    <row r="4" spans="1:8" ht="15.15" customHeight="1" x14ac:dyDescent="0.25">
      <c r="A4" s="61" t="s">
        <v>65</v>
      </c>
      <c r="B4" s="53">
        <v>0.15</v>
      </c>
      <c r="E4" s="1"/>
      <c r="F4" s="1"/>
    </row>
    <row r="5" spans="1:8" ht="15.15" customHeight="1" x14ac:dyDescent="0.25">
      <c r="A5" s="60" t="s">
        <v>96</v>
      </c>
      <c r="B5" s="31">
        <f>B3*(1-B4)</f>
        <v>850000</v>
      </c>
      <c r="E5" s="1"/>
      <c r="F5" s="1"/>
    </row>
    <row r="6" spans="1:8" ht="15.15" customHeight="1" x14ac:dyDescent="0.25">
      <c r="A6" s="1"/>
      <c r="E6" s="1"/>
      <c r="F6" s="1"/>
    </row>
    <row r="7" spans="1:8" ht="15.15" customHeight="1" x14ac:dyDescent="0.25">
      <c r="A7" s="71" t="s">
        <v>143</v>
      </c>
      <c r="E7" s="1"/>
      <c r="F7" s="1"/>
    </row>
    <row r="8" spans="1:8" ht="15.15" customHeight="1" x14ac:dyDescent="0.25">
      <c r="A8" s="61" t="s">
        <v>164</v>
      </c>
      <c r="B8" s="64">
        <v>2425000</v>
      </c>
      <c r="C8" s="42"/>
      <c r="D8" t="s">
        <v>192</v>
      </c>
      <c r="E8" s="49" t="s">
        <v>193</v>
      </c>
      <c r="G8" s="4"/>
      <c r="H8" s="4"/>
    </row>
    <row r="9" spans="1:8" ht="15.15" customHeight="1" x14ac:dyDescent="0.25">
      <c r="A9" s="61" t="s">
        <v>166</v>
      </c>
      <c r="B9" s="86">
        <f>B5/B8</f>
        <v>0.35051546391752575</v>
      </c>
      <c r="C9" s="42" t="s">
        <v>178</v>
      </c>
      <c r="E9" s="4"/>
      <c r="F9" s="4"/>
      <c r="G9" s="4"/>
      <c r="H9" s="4"/>
    </row>
    <row r="10" spans="1:8" ht="15.15" customHeight="1" x14ac:dyDescent="0.25">
      <c r="A10" s="69" t="s">
        <v>66</v>
      </c>
      <c r="B10" s="42">
        <v>15</v>
      </c>
      <c r="C10" s="33"/>
    </row>
    <row r="11" spans="1:8" ht="15.15" customHeight="1" x14ac:dyDescent="0.25">
      <c r="A11" s="1"/>
      <c r="E11" s="1"/>
      <c r="F11" s="1"/>
    </row>
    <row r="12" spans="1:8" ht="15.15" customHeight="1" x14ac:dyDescent="0.25">
      <c r="A12" s="71" t="s">
        <v>145</v>
      </c>
      <c r="E12" s="1"/>
      <c r="F12" s="1"/>
    </row>
    <row r="13" spans="1:8" ht="15.15" customHeight="1" x14ac:dyDescent="0.25">
      <c r="A13" s="61" t="s">
        <v>99</v>
      </c>
      <c r="B13" s="33">
        <f>180*0.75</f>
        <v>135</v>
      </c>
      <c r="C13" s="33" t="s">
        <v>91</v>
      </c>
      <c r="E13" t="s">
        <v>93</v>
      </c>
    </row>
    <row r="14" spans="1:8" ht="15.15" customHeight="1" x14ac:dyDescent="0.25">
      <c r="A14" s="61" t="s">
        <v>100</v>
      </c>
      <c r="B14" s="33">
        <v>60</v>
      </c>
      <c r="C14" s="42" t="s">
        <v>82</v>
      </c>
      <c r="E14" t="s">
        <v>108</v>
      </c>
    </row>
    <row r="15" spans="1:8" ht="15.15" customHeight="1" x14ac:dyDescent="0.25">
      <c r="A15" s="60" t="s">
        <v>90</v>
      </c>
      <c r="B15" s="36">
        <f>B14*B13</f>
        <v>8100</v>
      </c>
      <c r="C15" s="33" t="s">
        <v>92</v>
      </c>
    </row>
    <row r="16" spans="1:8" ht="15.15" customHeight="1" x14ac:dyDescent="0.25">
      <c r="A16" s="1"/>
      <c r="E16" s="1"/>
      <c r="F16" s="1"/>
    </row>
    <row r="17" spans="1:6" ht="15.15" customHeight="1" x14ac:dyDescent="0.25">
      <c r="A17" s="61" t="s">
        <v>97</v>
      </c>
      <c r="B17" s="35">
        <v>382</v>
      </c>
      <c r="C17" s="33" t="s">
        <v>73</v>
      </c>
      <c r="D17" s="4" t="s">
        <v>191</v>
      </c>
      <c r="E17" t="s">
        <v>121</v>
      </c>
    </row>
    <row r="18" spans="1:6" ht="15.15" customHeight="1" x14ac:dyDescent="0.25">
      <c r="A18" s="61" t="s">
        <v>98</v>
      </c>
      <c r="B18" s="35">
        <v>137</v>
      </c>
      <c r="C18" s="33" t="s">
        <v>73</v>
      </c>
      <c r="D18" s="4" t="s">
        <v>191</v>
      </c>
      <c r="E18" t="s">
        <v>165</v>
      </c>
    </row>
    <row r="19" spans="1:6" ht="15.15" customHeight="1" x14ac:dyDescent="0.25">
      <c r="A19" s="69" t="s">
        <v>154</v>
      </c>
      <c r="B19" s="36">
        <f>B17-B18</f>
        <v>245</v>
      </c>
      <c r="C19" s="33" t="s">
        <v>73</v>
      </c>
    </row>
    <row r="21" spans="1:6" ht="15.15" customHeight="1" x14ac:dyDescent="0.25">
      <c r="A21" s="61" t="s">
        <v>175</v>
      </c>
      <c r="B21" s="52">
        <f>B15*B19*365/1000000</f>
        <v>724.34249999999997</v>
      </c>
      <c r="C21" s="33" t="s">
        <v>119</v>
      </c>
    </row>
    <row r="22" spans="1:6" ht="15.15" customHeight="1" x14ac:dyDescent="0.25">
      <c r="A22" s="69" t="s">
        <v>155</v>
      </c>
      <c r="B22" s="70">
        <f>B21*B9</f>
        <v>253.89324742268039</v>
      </c>
      <c r="C22" t="s">
        <v>118</v>
      </c>
    </row>
    <row r="23" spans="1:6" ht="15.15" customHeight="1" x14ac:dyDescent="0.25">
      <c r="A23" s="69" t="s">
        <v>156</v>
      </c>
      <c r="B23" s="36">
        <f>B22*B10</f>
        <v>3808.3987113402059</v>
      </c>
      <c r="C23" s="33" t="s">
        <v>107</v>
      </c>
    </row>
    <row r="27" spans="1:6" ht="15.15" customHeight="1" x14ac:dyDescent="0.25">
      <c r="A27" s="1" t="s">
        <v>149</v>
      </c>
      <c r="B27" s="55" t="s">
        <v>75</v>
      </c>
      <c r="C27" s="55" t="s">
        <v>76</v>
      </c>
      <c r="D27" s="55" t="s">
        <v>79</v>
      </c>
      <c r="E27" s="55" t="s">
        <v>82</v>
      </c>
      <c r="F27" s="1" t="s">
        <v>88</v>
      </c>
    </row>
    <row r="28" spans="1:6" ht="15.15" customHeight="1" x14ac:dyDescent="0.25">
      <c r="A28" t="s">
        <v>74</v>
      </c>
      <c r="B28" s="10">
        <v>5</v>
      </c>
      <c r="C28" s="10">
        <v>312</v>
      </c>
      <c r="D28" s="10">
        <v>67</v>
      </c>
      <c r="E28" s="51">
        <f t="shared" ref="E28:E29" si="0">C28/B28</f>
        <v>62.4</v>
      </c>
      <c r="F28" s="37" t="s">
        <v>80</v>
      </c>
    </row>
    <row r="29" spans="1:6" ht="15.15" customHeight="1" x14ac:dyDescent="0.25">
      <c r="A29" t="s">
        <v>77</v>
      </c>
      <c r="B29" s="10">
        <v>5.46</v>
      </c>
      <c r="C29" s="10">
        <v>366</v>
      </c>
      <c r="D29" s="10">
        <v>68</v>
      </c>
      <c r="E29" s="51">
        <f t="shared" si="0"/>
        <v>67.032967032967036</v>
      </c>
      <c r="F29" s="37" t="s">
        <v>81</v>
      </c>
    </row>
    <row r="30" spans="1:6" ht="15.15" customHeight="1" x14ac:dyDescent="0.25">
      <c r="A30" t="s">
        <v>78</v>
      </c>
      <c r="B30" s="10">
        <v>5.63</v>
      </c>
      <c r="C30" s="10">
        <v>265</v>
      </c>
      <c r="D30" s="10">
        <v>50</v>
      </c>
      <c r="E30" s="51">
        <f>C30/B30</f>
        <v>47.069271758436948</v>
      </c>
      <c r="F30" s="37" t="s">
        <v>83</v>
      </c>
    </row>
    <row r="31" spans="1:6" ht="15.15" customHeight="1" x14ac:dyDescent="0.25">
      <c r="E31" s="10"/>
    </row>
    <row r="32" spans="1:6" ht="15.15" customHeight="1" x14ac:dyDescent="0.25">
      <c r="D32" s="56" t="s">
        <v>89</v>
      </c>
      <c r="E32" s="51">
        <f>AVERAGE(E28:E30)</f>
        <v>58.834079597134661</v>
      </c>
    </row>
    <row r="34" spans="1:1" ht="15.15" customHeight="1" x14ac:dyDescent="0.25">
      <c r="A34" s="1" t="s">
        <v>88</v>
      </c>
    </row>
    <row r="35" spans="1:1" ht="15.15" customHeight="1" x14ac:dyDescent="0.25">
      <c r="A35" s="37" t="s">
        <v>187</v>
      </c>
    </row>
    <row r="36" spans="1:1" ht="15.15" customHeight="1" x14ac:dyDescent="0.25">
      <c r="A36" s="37" t="s">
        <v>188</v>
      </c>
    </row>
    <row r="37" spans="1:1" ht="15.15" customHeight="1" x14ac:dyDescent="0.25">
      <c r="A37" s="37" t="s">
        <v>252</v>
      </c>
    </row>
  </sheetData>
  <hyperlinks>
    <hyperlink ref="A37" r:id="rId1" display="https://www.arb.ca.gov/cc/capandtrade/auctionproceeds/arb_cbld_finalqm_16-17.pdf"/>
    <hyperlink ref="A35" r:id="rId2" display="http://www.energy.ca.gov/contracts/GFO-15-605/"/>
    <hyperlink ref="A36" r:id="rId3" display="http://www.energy.ca.gov/contracts/GFO-15-605_NOPA_Revised.pdf"/>
    <hyperlink ref="F28" r:id="rId4"/>
    <hyperlink ref="F29" r:id="rId5"/>
    <hyperlink ref="F30" r:id="rId6"/>
  </hyperlinks>
  <pageMargins left="0.7" right="0.7" top="0.75" bottom="0.75" header="0.3" footer="0.3"/>
  <pageSetup orientation="portrait"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O32"/>
  <sheetViews>
    <sheetView workbookViewId="0">
      <selection activeCell="A23" sqref="A23"/>
    </sheetView>
  </sheetViews>
  <sheetFormatPr defaultRowHeight="15.15" customHeight="1" x14ac:dyDescent="0.25"/>
  <cols>
    <col min="1" max="1" width="27.7109375" customWidth="1"/>
    <col min="2" max="2" width="10.5703125" customWidth="1"/>
    <col min="3" max="3" width="15.5703125" customWidth="1"/>
    <col min="4" max="4" width="25.5703125" customWidth="1"/>
    <col min="5" max="5" width="16.7109375" customWidth="1"/>
    <col min="6" max="6" width="53" customWidth="1"/>
  </cols>
  <sheetData>
    <row r="1" spans="1:15" ht="15.15" customHeight="1" x14ac:dyDescent="0.25">
      <c r="A1" s="71" t="s">
        <v>251</v>
      </c>
      <c r="D1" s="1"/>
      <c r="E1" s="1"/>
      <c r="O1" s="1"/>
    </row>
    <row r="2" spans="1:15" ht="15.15" customHeight="1" x14ac:dyDescent="0.25">
      <c r="A2" s="1"/>
      <c r="B2" s="1" t="s">
        <v>141</v>
      </c>
      <c r="C2" s="1" t="s">
        <v>142</v>
      </c>
      <c r="D2" s="1" t="s">
        <v>11</v>
      </c>
      <c r="E2" s="1" t="s">
        <v>37</v>
      </c>
      <c r="O2" s="1"/>
    </row>
    <row r="3" spans="1:15" ht="15.15" customHeight="1" x14ac:dyDescent="0.25">
      <c r="A3" s="60" t="s">
        <v>71</v>
      </c>
      <c r="B3" s="78">
        <v>1000000</v>
      </c>
      <c r="C3" s="5"/>
      <c r="D3" s="5" t="s">
        <v>150</v>
      </c>
      <c r="E3" s="5"/>
      <c r="F3" s="5"/>
      <c r="G3" s="5"/>
      <c r="H3" s="5"/>
    </row>
    <row r="4" spans="1:15" ht="15.15" customHeight="1" x14ac:dyDescent="0.25">
      <c r="A4" s="61" t="s">
        <v>65</v>
      </c>
      <c r="B4" s="53">
        <v>0.15</v>
      </c>
      <c r="C4" s="30"/>
      <c r="D4" s="30"/>
      <c r="E4" s="5"/>
      <c r="F4" s="5"/>
      <c r="G4" s="5"/>
      <c r="H4" s="5"/>
    </row>
    <row r="5" spans="1:15" ht="15.15" customHeight="1" x14ac:dyDescent="0.25">
      <c r="A5" s="60" t="s">
        <v>96</v>
      </c>
      <c r="B5" s="78">
        <f>B3*(1-B4)</f>
        <v>850000</v>
      </c>
      <c r="C5" s="31"/>
      <c r="D5" s="31"/>
      <c r="E5" s="5"/>
      <c r="F5" s="5"/>
      <c r="G5" s="5"/>
      <c r="H5" s="5"/>
    </row>
    <row r="6" spans="1:15" ht="15.15" customHeight="1" x14ac:dyDescent="0.25">
      <c r="A6" s="11"/>
      <c r="B6" s="78"/>
      <c r="C6" s="31"/>
      <c r="D6" s="31"/>
      <c r="E6" s="5"/>
      <c r="F6" s="5"/>
      <c r="G6" s="5"/>
      <c r="H6" s="5"/>
    </row>
    <row r="7" spans="1:15" ht="15.15" customHeight="1" x14ac:dyDescent="0.25">
      <c r="A7" s="71" t="s">
        <v>143</v>
      </c>
      <c r="B7" s="78"/>
      <c r="C7" s="31"/>
      <c r="D7" s="31"/>
      <c r="E7" s="5"/>
      <c r="F7" s="5"/>
      <c r="G7" s="5"/>
      <c r="H7" s="5"/>
    </row>
    <row r="8" spans="1:15" ht="15.15" customHeight="1" x14ac:dyDescent="0.25">
      <c r="A8" s="60" t="s">
        <v>293</v>
      </c>
      <c r="B8" s="89">
        <v>31.79</v>
      </c>
      <c r="C8" t="s">
        <v>292</v>
      </c>
      <c r="D8" s="31" t="s">
        <v>291</v>
      </c>
      <c r="E8" s="5" t="s">
        <v>300</v>
      </c>
      <c r="F8" s="5"/>
      <c r="G8" s="5"/>
      <c r="H8" s="5"/>
    </row>
    <row r="9" spans="1:15" ht="15.15" customHeight="1" x14ac:dyDescent="0.25">
      <c r="A9" s="69" t="s">
        <v>66</v>
      </c>
      <c r="B9" s="77">
        <v>20</v>
      </c>
      <c r="C9" s="32"/>
      <c r="D9" s="32" t="s">
        <v>87</v>
      </c>
      <c r="E9" s="5"/>
      <c r="F9" s="5"/>
      <c r="G9" s="5"/>
      <c r="H9" s="5"/>
    </row>
    <row r="11" spans="1:15" ht="15.15" customHeight="1" x14ac:dyDescent="0.25">
      <c r="A11" s="71" t="s">
        <v>145</v>
      </c>
    </row>
    <row r="12" spans="1:15" ht="15.15" customHeight="1" x14ac:dyDescent="0.25">
      <c r="A12" s="60" t="s">
        <v>157</v>
      </c>
      <c r="B12" s="80">
        <f>0.25/12</f>
        <v>2.0833333333333332E-2</v>
      </c>
      <c r="C12" t="s">
        <v>151</v>
      </c>
      <c r="D12" s="32" t="s">
        <v>87</v>
      </c>
      <c r="E12" s="32" t="s">
        <v>146</v>
      </c>
      <c r="F12" s="5"/>
      <c r="G12" s="5"/>
      <c r="H12" s="5"/>
    </row>
    <row r="13" spans="1:15" ht="15.15" customHeight="1" x14ac:dyDescent="0.25">
      <c r="A13" s="69" t="s">
        <v>161</v>
      </c>
      <c r="B13" s="79">
        <f>B12*B25/B24*B26</f>
        <v>18.87263888888889</v>
      </c>
      <c r="C13" s="32" t="s">
        <v>294</v>
      </c>
      <c r="D13" s="32"/>
      <c r="E13" s="5"/>
      <c r="F13" s="5"/>
      <c r="G13" s="5"/>
      <c r="H13" s="5"/>
    </row>
    <row r="14" spans="1:15" ht="15.15" customHeight="1" x14ac:dyDescent="0.25">
      <c r="A14" s="69" t="s">
        <v>298</v>
      </c>
      <c r="B14" s="78">
        <f>B8*B13</f>
        <v>599.96119027777775</v>
      </c>
      <c r="C14" s="32" t="s">
        <v>296</v>
      </c>
      <c r="D14" s="32"/>
      <c r="E14" s="5"/>
      <c r="F14" s="5"/>
      <c r="G14" s="5"/>
      <c r="H14" s="5"/>
    </row>
    <row r="15" spans="1:15" ht="15.15" customHeight="1" x14ac:dyDescent="0.25">
      <c r="A15" s="60" t="s">
        <v>295</v>
      </c>
      <c r="B15" s="88">
        <v>100</v>
      </c>
      <c r="C15" t="s">
        <v>296</v>
      </c>
      <c r="D15" s="31" t="s">
        <v>297</v>
      </c>
      <c r="E15" s="5"/>
      <c r="F15" s="5"/>
      <c r="G15" s="5"/>
      <c r="H15" s="5"/>
    </row>
    <row r="16" spans="1:15" ht="15.15" customHeight="1" x14ac:dyDescent="0.25">
      <c r="A16" s="69" t="s">
        <v>158</v>
      </c>
      <c r="B16" s="79">
        <f>B5/(B15+B14)</f>
        <v>1214.3530410060016</v>
      </c>
      <c r="C16" s="32" t="s">
        <v>152</v>
      </c>
      <c r="D16" s="32"/>
      <c r="E16" s="5"/>
      <c r="F16" s="5"/>
      <c r="G16" s="5"/>
      <c r="H16" s="5"/>
    </row>
    <row r="17" spans="1:8" ht="15.15" customHeight="1" x14ac:dyDescent="0.25">
      <c r="A17" s="82"/>
      <c r="B17" s="79"/>
      <c r="C17" s="32"/>
      <c r="D17" s="32"/>
      <c r="E17" s="5"/>
      <c r="F17" s="5"/>
      <c r="G17" s="5"/>
      <c r="H17" s="5"/>
    </row>
    <row r="18" spans="1:8" ht="15.15" customHeight="1" x14ac:dyDescent="0.25">
      <c r="A18" s="69" t="s">
        <v>154</v>
      </c>
      <c r="B18" s="81">
        <v>1.49</v>
      </c>
      <c r="C18" s="32" t="s">
        <v>153</v>
      </c>
      <c r="D18" s="32" t="s">
        <v>87</v>
      </c>
      <c r="E18" s="5"/>
      <c r="F18" s="5"/>
      <c r="G18" s="5"/>
      <c r="H18" s="5"/>
    </row>
    <row r="19" spans="1:8" ht="15.15" customHeight="1" x14ac:dyDescent="0.25">
      <c r="A19" s="69" t="s">
        <v>155</v>
      </c>
      <c r="B19" s="79">
        <f>B18*B16</f>
        <v>1809.3860310989423</v>
      </c>
      <c r="C19" s="32" t="s">
        <v>118</v>
      </c>
      <c r="D19" s="32"/>
      <c r="E19" s="5"/>
      <c r="F19" s="5"/>
      <c r="G19" s="5"/>
      <c r="H19" s="5"/>
    </row>
    <row r="20" spans="1:8" ht="15.15" customHeight="1" x14ac:dyDescent="0.25">
      <c r="A20" s="69" t="s">
        <v>156</v>
      </c>
      <c r="B20" s="79">
        <f>B19*B9</f>
        <v>36187.72062197885</v>
      </c>
      <c r="C20" s="32" t="s">
        <v>107</v>
      </c>
      <c r="D20" s="32"/>
      <c r="E20" s="5"/>
      <c r="F20" s="5"/>
      <c r="G20" s="5"/>
      <c r="H20" s="5"/>
    </row>
    <row r="21" spans="1:8" ht="15.15" customHeight="1" x14ac:dyDescent="0.25">
      <c r="A21" s="5"/>
      <c r="B21" s="5"/>
      <c r="C21" s="5"/>
      <c r="D21" s="5"/>
      <c r="E21" s="5"/>
      <c r="F21" s="5"/>
      <c r="G21" s="5"/>
      <c r="H21" s="5"/>
    </row>
    <row r="22" spans="1:8" ht="15.15" customHeight="1" x14ac:dyDescent="0.25">
      <c r="A22" s="5"/>
      <c r="B22" s="5"/>
      <c r="C22" s="5"/>
      <c r="D22" s="5"/>
      <c r="E22" s="5"/>
      <c r="F22" s="5"/>
      <c r="G22" s="5"/>
      <c r="H22" s="5"/>
    </row>
    <row r="23" spans="1:8" ht="15.15" customHeight="1" x14ac:dyDescent="0.25">
      <c r="B23" s="1" t="s">
        <v>13</v>
      </c>
      <c r="G23" s="5"/>
      <c r="H23" s="5"/>
    </row>
    <row r="24" spans="1:8" ht="15.15" customHeight="1" x14ac:dyDescent="0.25">
      <c r="B24" s="5">
        <v>27</v>
      </c>
      <c r="C24" s="5" t="s">
        <v>159</v>
      </c>
      <c r="D24" s="5"/>
      <c r="E24" s="5"/>
      <c r="G24" s="5"/>
      <c r="H24" s="5"/>
    </row>
    <row r="25" spans="1:8" ht="15.15" customHeight="1" x14ac:dyDescent="0.25">
      <c r="B25" s="5">
        <v>43560</v>
      </c>
      <c r="C25" s="5" t="s">
        <v>210</v>
      </c>
      <c r="D25" s="5"/>
      <c r="E25" s="5"/>
      <c r="G25" s="5"/>
      <c r="H25" s="5"/>
    </row>
    <row r="26" spans="1:8" ht="15.15" customHeight="1" x14ac:dyDescent="0.25">
      <c r="B26" s="6">
        <v>0.5615</v>
      </c>
      <c r="C26" s="7" t="s">
        <v>17</v>
      </c>
      <c r="D26" s="5" t="s">
        <v>16</v>
      </c>
      <c r="G26" s="5"/>
      <c r="H26" s="5"/>
    </row>
    <row r="27" spans="1:8" ht="15.15" customHeight="1" x14ac:dyDescent="0.25">
      <c r="E27" s="5"/>
      <c r="F27" s="5"/>
      <c r="G27" s="5"/>
      <c r="H27" s="5"/>
    </row>
    <row r="28" spans="1:8" ht="15.15" customHeight="1" x14ac:dyDescent="0.25">
      <c r="E28" s="5"/>
      <c r="F28" s="5"/>
      <c r="G28" s="5"/>
      <c r="H28" s="5"/>
    </row>
    <row r="29" spans="1:8" ht="15.15" customHeight="1" x14ac:dyDescent="0.25">
      <c r="A29" s="1" t="s">
        <v>88</v>
      </c>
    </row>
    <row r="30" spans="1:8" ht="15.15" customHeight="1" x14ac:dyDescent="0.25">
      <c r="A30" s="37" t="s">
        <v>185</v>
      </c>
    </row>
    <row r="31" spans="1:8" ht="15.15" customHeight="1" x14ac:dyDescent="0.25">
      <c r="A31" s="37" t="s">
        <v>186</v>
      </c>
    </row>
    <row r="32" spans="1:8" ht="15.15" customHeight="1" x14ac:dyDescent="0.25">
      <c r="A32" s="37" t="s">
        <v>304</v>
      </c>
    </row>
  </sheetData>
  <hyperlinks>
    <hyperlink ref="A31" r:id="rId1" display="http://www.recycle.cc/compostprices.pdf"/>
    <hyperlink ref="A30" r:id="rId2" display="http://www.cecsb.org/wp-content/uploads/2016/05/GHG-reduction-potential.pdf"/>
    <hyperlink ref="A32" r:id="rId3"/>
  </hyperlinks>
  <pageMargins left="0.7" right="0.7" top="0.75" bottom="0.75" header="0.3" footer="0.3"/>
  <pageSetup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Read Me</vt:lpstr>
      <vt:lpstr>Matrix</vt:lpstr>
      <vt:lpstr>ZEV</vt:lpstr>
      <vt:lpstr>S. Bus</vt:lpstr>
      <vt:lpstr>U. Bus</vt:lpstr>
      <vt:lpstr>RNG Truck</vt:lpstr>
      <vt:lpstr>EV Infra</vt:lpstr>
      <vt:lpstr>FCEV Infra</vt:lpstr>
      <vt:lpstr>Carbon Farm</vt:lpstr>
      <vt:lpstr>U. Forests</vt:lpstr>
      <vt:lpstr>Energy Eff.</vt:lpstr>
      <vt:lpstr>Solar</vt:lpstr>
      <vt:lpstr>Battery</vt:lpstr>
      <vt:lpstr>Combo</vt:lpstr>
      <vt:lpstr>VSR</vt:lpstr>
      <vt:lpstr>Matrix!_ftnref2</vt:lpstr>
      <vt:lpstr>Matrix!_ftnref6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2019-11-08T23:05:50Z</dcterms:modified>
</cp:coreProperties>
</file>