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bcapcd.org\shares\Groups\ENGR\LIBRARY\Compliance\331 I&amp;M Template\FHC I&amp;M Plan Template-CLP&amp;CARB KVB\Appendices\"/>
    </mc:Choice>
  </mc:AlternateContent>
  <bookViews>
    <workbookView xWindow="120" yWindow="120" windowWidth="21075" windowHeight="9525"/>
  </bookViews>
  <sheets>
    <sheet name="9.2.1" sheetId="12" r:id="rId1"/>
    <sheet name="9.2.2" sheetId="20" r:id="rId2"/>
    <sheet name="9.2.3" sheetId="16" r:id="rId3"/>
    <sheet name="9.2.4" sheetId="4" r:id="rId4"/>
    <sheet name="9.2.5" sheetId="14" r:id="rId5"/>
    <sheet name="9.2.6" sheetId="6" r:id="rId6"/>
    <sheet name="9.2.7" sheetId="10" r:id="rId7"/>
    <sheet name="9.2.8" sheetId="11" r:id="rId8"/>
    <sheet name="9.2.9a FHC CLP Emissions" sheetId="17" r:id="rId9"/>
    <sheet name="9.2.9b FHC Emission Factors" sheetId="18" r:id="rId10"/>
    <sheet name="9.2.9c FHC Control Factors" sheetId="19" r:id="rId11"/>
    <sheet name="9.2.10" sheetId="15" r:id="rId12"/>
  </sheets>
  <externalReferences>
    <externalReference r:id="rId13"/>
    <externalReference r:id="rId14"/>
    <externalReference r:id="rId15"/>
    <externalReference r:id="rId16"/>
  </externalReferences>
  <definedNames>
    <definedName name="bow_ratio" localSheetId="1">#REF!</definedName>
    <definedName name="bow_ratio" localSheetId="2">#REF!</definedName>
    <definedName name="bow_ratio">#REF!</definedName>
    <definedName name="EC_Crew_hp" localSheetId="2">#REF!</definedName>
    <definedName name="EC_Crew_hp">#REF!</definedName>
    <definedName name="EC_Sup_hp" localSheetId="2">#REF!</definedName>
    <definedName name="EC_Sup_hp">#REF!</definedName>
    <definedName name="GPP" localSheetId="1">'[1]9.1.9a FHC CLP Emissions'!$F$15</definedName>
    <definedName name="GPP">#REF!</definedName>
    <definedName name="HHVPro">[2]Variables!$C$6</definedName>
    <definedName name="Module2.printsheet" localSheetId="8">[3]!Module2.printsheet</definedName>
    <definedName name="Module2.printsheet">[4]!Module2.printsheet</definedName>
    <definedName name="OCS" localSheetId="1">'[1]9.1.9a FHC CLP Emissions'!$K$15</definedName>
    <definedName name="OCS">#REF!</definedName>
    <definedName name="_xlnm.Print_Area" localSheetId="11">'9.2.10'!$B$1:$G$123</definedName>
    <definedName name="_xlnm.Print_Area" localSheetId="6">'9.2.7'!$B$1:$L$28</definedName>
    <definedName name="_xlnm.Print_Area" localSheetId="10">'9.2.9c FHC Control Factors'!$B$6:$J$43</definedName>
    <definedName name="_xlnm.Print_Titles" localSheetId="11">'9.2.10'!$1:$1</definedName>
    <definedName name="_xlnm.Print_Titles" localSheetId="8">'9.2.9a FHC CLP Emissions'!$4:$18</definedName>
    <definedName name="_xlnm.Print_Titles" localSheetId="10">'9.2.9c FHC Control Factors'!$6:$8</definedName>
    <definedName name="ProFie" localSheetId="1">'[1]9.1.9a FHC CLP Emissions'!$C$15</definedName>
    <definedName name="ProFie">#REF!</definedName>
    <definedName name="Refin" localSheetId="1">'[1]9.1.9a FHC CLP Emissions'!$H$15</definedName>
    <definedName name="Refin">#REF!</definedName>
    <definedName name="ST_VRU_EFF" localSheetId="1">#REF!</definedName>
    <definedName name="ST_VRU_EFF" localSheetId="2">#REF!</definedName>
    <definedName name="ST_VRU_EFF">#REF!</definedName>
    <definedName name="Submerged_loading_of_a_clean_cargo_tank" localSheetId="1">#REF!</definedName>
    <definedName name="Submerged_loading_of_a_clean_cargo_tank" localSheetId="2">#REF!</definedName>
    <definedName name="Submerged_loading_of_a_clean_cargo_tank">#REF!</definedName>
    <definedName name="VRU_EFF" localSheetId="1">#REF!</definedName>
    <definedName name="VRU_EFF" localSheetId="2">#REF!</definedName>
    <definedName name="VRU_EFF">#REF!</definedName>
    <definedName name="Z_07E0E28D_B969_4E7F_8F85_058A5327F2F1_.wvu.Cols" localSheetId="8" hidden="1">'9.2.9a FHC CLP Emissions'!#REF!</definedName>
    <definedName name="Z_07E0E28D_B969_4E7F_8F85_058A5327F2F1_.wvu.PrintTitles" localSheetId="8" hidden="1">'9.2.9a FHC CLP Emissions'!$4:$18</definedName>
    <definedName name="Z_07E0E28D_B969_4E7F_8F85_058A5327F2F1_.wvu.PrintTitles" localSheetId="10" hidden="1">'9.2.9c FHC Control Factors'!$6:$8</definedName>
    <definedName name="Z_114D12BA_EA38_4648_AF03_9BC52AF9F5DD_.wvu.PrintArea" localSheetId="11" hidden="1">'9.2.10'!$B$1:$G$123</definedName>
    <definedName name="Z_114D12BA_EA38_4648_AF03_9BC52AF9F5DD_.wvu.PrintTitles" localSheetId="11" hidden="1">'9.2.10'!$1:$1</definedName>
    <definedName name="Z_C3518FAE_2ACB_4C46_B346_CC6A0EF3BBF5_.wvu.PrintArea" localSheetId="11" hidden="1">'9.2.10'!$B$1:$G$123</definedName>
    <definedName name="Z_C3518FAE_2ACB_4C46_B346_CC6A0EF3BBF5_.wvu.PrintTitles" localSheetId="11" hidden="1">'9.2.10'!$1:$1</definedName>
  </definedNames>
  <calcPr calcId="152511" calcOnSave="0"/>
</workbook>
</file>

<file path=xl/calcChain.xml><?xml version="1.0" encoding="utf-8"?>
<calcChain xmlns="http://schemas.openxmlformats.org/spreadsheetml/2006/main">
  <c r="G14" i="4" l="1"/>
  <c r="G15" i="4"/>
  <c r="G16" i="4"/>
  <c r="G17" i="4"/>
  <c r="G13" i="4"/>
  <c r="AB46" i="16" l="1"/>
  <c r="AB45" i="16"/>
  <c r="AB55" i="16"/>
  <c r="AB54" i="16"/>
  <c r="AB53" i="16"/>
  <c r="AB52" i="16"/>
  <c r="AB51" i="16"/>
  <c r="AB50" i="16"/>
  <c r="AB65" i="16" l="1"/>
  <c r="AB64" i="16"/>
  <c r="AB63" i="16"/>
  <c r="AB62" i="16"/>
  <c r="AB61" i="16"/>
  <c r="AB60" i="16"/>
  <c r="AB59" i="16"/>
  <c r="AB56" i="16"/>
  <c r="AB47" i="16"/>
  <c r="AB44" i="16"/>
  <c r="AB43" i="16"/>
  <c r="AB42" i="16"/>
  <c r="AB41" i="16"/>
  <c r="AB38" i="16"/>
  <c r="AB37" i="16"/>
  <c r="AB36" i="16"/>
  <c r="AB35" i="16"/>
  <c r="AB34" i="16"/>
  <c r="AB31" i="16" l="1"/>
  <c r="AB30" i="16"/>
  <c r="AB29" i="16"/>
  <c r="AB28" i="16"/>
  <c r="AB27" i="16"/>
  <c r="AB24" i="16"/>
  <c r="AB23" i="16"/>
  <c r="AB22" i="16"/>
  <c r="AB21" i="16"/>
  <c r="AB20" i="16"/>
  <c r="C73" i="17" l="1"/>
  <c r="G72" i="17"/>
  <c r="F72" i="17"/>
  <c r="G71" i="17"/>
  <c r="F71" i="17"/>
  <c r="G70" i="17"/>
  <c r="F70" i="17"/>
  <c r="G69" i="17"/>
  <c r="F69" i="17"/>
  <c r="G68" i="17"/>
  <c r="F68" i="17"/>
  <c r="G67" i="17"/>
  <c r="F67" i="17"/>
  <c r="G66" i="17"/>
  <c r="F66" i="17"/>
  <c r="G65" i="17"/>
  <c r="F65" i="17"/>
  <c r="G64" i="17"/>
  <c r="F64" i="17"/>
  <c r="G63" i="17"/>
  <c r="F63" i="17"/>
  <c r="G62" i="17"/>
  <c r="F62" i="17"/>
  <c r="G61" i="17"/>
  <c r="F61" i="17"/>
  <c r="G60" i="17"/>
  <c r="F60" i="17"/>
  <c r="G59" i="17"/>
  <c r="F59" i="17"/>
  <c r="G58" i="17"/>
  <c r="F58" i="17"/>
  <c r="G57" i="17"/>
  <c r="F57" i="17"/>
  <c r="G56" i="17"/>
  <c r="F56" i="17"/>
  <c r="G55" i="17"/>
  <c r="F55" i="17"/>
  <c r="G54" i="17"/>
  <c r="F54" i="17"/>
  <c r="G53" i="17"/>
  <c r="F53" i="17"/>
  <c r="G52" i="17"/>
  <c r="F52" i="17"/>
  <c r="G51" i="17"/>
  <c r="F51" i="17"/>
  <c r="G50" i="17"/>
  <c r="F50" i="17"/>
  <c r="G49" i="17"/>
  <c r="F49" i="17"/>
  <c r="C46" i="17"/>
  <c r="C75" i="17" s="1"/>
  <c r="G45" i="17"/>
  <c r="F45" i="17"/>
  <c r="I45" i="17" s="1"/>
  <c r="H45" i="17" s="1"/>
  <c r="G44" i="17"/>
  <c r="F44" i="17"/>
  <c r="I44" i="17" s="1"/>
  <c r="H44" i="17" s="1"/>
  <c r="G43" i="17"/>
  <c r="F43" i="17"/>
  <c r="I43" i="17" s="1"/>
  <c r="H43" i="17" s="1"/>
  <c r="G42" i="17"/>
  <c r="F42" i="17"/>
  <c r="I42" i="17" s="1"/>
  <c r="H42" i="17" s="1"/>
  <c r="G41" i="17"/>
  <c r="F41" i="17"/>
  <c r="I41" i="17" s="1"/>
  <c r="H41" i="17" s="1"/>
  <c r="G40" i="17"/>
  <c r="F40" i="17"/>
  <c r="I40" i="17" s="1"/>
  <c r="H40" i="17" s="1"/>
  <c r="G39" i="17"/>
  <c r="F39" i="17"/>
  <c r="I39" i="17" s="1"/>
  <c r="H39" i="17" s="1"/>
  <c r="G38" i="17"/>
  <c r="F38" i="17"/>
  <c r="I38" i="17" s="1"/>
  <c r="H38" i="17" s="1"/>
  <c r="G37" i="17"/>
  <c r="F37" i="17"/>
  <c r="G36" i="17"/>
  <c r="F36" i="17"/>
  <c r="G35" i="17"/>
  <c r="F35" i="17"/>
  <c r="G34" i="17"/>
  <c r="F34" i="17"/>
  <c r="G33" i="17"/>
  <c r="F33" i="17"/>
  <c r="G32" i="17"/>
  <c r="F32" i="17"/>
  <c r="G31" i="17"/>
  <c r="F31" i="17"/>
  <c r="G30" i="17"/>
  <c r="F30" i="17"/>
  <c r="G29" i="17"/>
  <c r="F29" i="17"/>
  <c r="G28" i="17"/>
  <c r="F28" i="17"/>
  <c r="I28" i="17" s="1"/>
  <c r="H28" i="17" s="1"/>
  <c r="J28" i="17" s="1"/>
  <c r="G27" i="17"/>
  <c r="F27" i="17"/>
  <c r="I27" i="17" s="1"/>
  <c r="H27" i="17" s="1"/>
  <c r="G26" i="17"/>
  <c r="F26" i="17"/>
  <c r="I26" i="17" s="1"/>
  <c r="H26" i="17" s="1"/>
  <c r="G25" i="17"/>
  <c r="F25" i="17"/>
  <c r="G24" i="17"/>
  <c r="F24" i="17"/>
  <c r="I24" i="17" s="1"/>
  <c r="H24" i="17" s="1"/>
  <c r="J24" i="17" s="1"/>
  <c r="G23" i="17"/>
  <c r="F23" i="17"/>
  <c r="I23" i="17" s="1"/>
  <c r="H23" i="17" s="1"/>
  <c r="G22" i="17"/>
  <c r="F22" i="17"/>
  <c r="I22" i="17" s="1"/>
  <c r="H22" i="17" s="1"/>
  <c r="G21" i="17"/>
  <c r="F21" i="17"/>
  <c r="G20" i="17"/>
  <c r="F20" i="17"/>
  <c r="I20" i="17" s="1"/>
  <c r="D26" i="14"/>
  <c r="D19" i="14"/>
  <c r="F26" i="14"/>
  <c r="F19" i="14"/>
  <c r="D19" i="4"/>
  <c r="E19" i="4"/>
  <c r="C19" i="4"/>
  <c r="H40" i="4"/>
  <c r="D40" i="4"/>
  <c r="E40" i="4"/>
  <c r="F19" i="4"/>
  <c r="F40" i="4"/>
  <c r="G40" i="4"/>
  <c r="C40" i="4"/>
  <c r="F30" i="4"/>
  <c r="D30" i="4"/>
  <c r="E30" i="4"/>
  <c r="C30" i="4"/>
  <c r="G19" i="4" l="1"/>
  <c r="I21" i="17"/>
  <c r="H21" i="17" s="1"/>
  <c r="I50" i="17"/>
  <c r="H50" i="17" s="1"/>
  <c r="I52" i="17"/>
  <c r="H52" i="17" s="1"/>
  <c r="K52" i="17" s="1"/>
  <c r="I54" i="17"/>
  <c r="H54" i="17" s="1"/>
  <c r="J54" i="17" s="1"/>
  <c r="I56" i="17"/>
  <c r="H56" i="17" s="1"/>
  <c r="I58" i="17"/>
  <c r="H58" i="17" s="1"/>
  <c r="K58" i="17" s="1"/>
  <c r="I60" i="17"/>
  <c r="H60" i="17" s="1"/>
  <c r="K60" i="17" s="1"/>
  <c r="I62" i="17"/>
  <c r="H62" i="17" s="1"/>
  <c r="J62" i="17" s="1"/>
  <c r="I64" i="17"/>
  <c r="H64" i="17" s="1"/>
  <c r="I66" i="17"/>
  <c r="H66" i="17" s="1"/>
  <c r="K66" i="17" s="1"/>
  <c r="I68" i="17"/>
  <c r="H68" i="17" s="1"/>
  <c r="J68" i="17" s="1"/>
  <c r="I70" i="17"/>
  <c r="H70" i="17" s="1"/>
  <c r="J70" i="17" s="1"/>
  <c r="I72" i="17"/>
  <c r="H72" i="17" s="1"/>
  <c r="I51" i="17"/>
  <c r="H51" i="17" s="1"/>
  <c r="K51" i="17" s="1"/>
  <c r="I53" i="17"/>
  <c r="H53" i="17" s="1"/>
  <c r="K53" i="17" s="1"/>
  <c r="I55" i="17"/>
  <c r="H55" i="17" s="1"/>
  <c r="K55" i="17" s="1"/>
  <c r="I57" i="17"/>
  <c r="H57" i="17" s="1"/>
  <c r="I59" i="17"/>
  <c r="H59" i="17" s="1"/>
  <c r="J59" i="17" s="1"/>
  <c r="I61" i="17"/>
  <c r="H61" i="17" s="1"/>
  <c r="K61" i="17" s="1"/>
  <c r="I63" i="17"/>
  <c r="H63" i="17" s="1"/>
  <c r="K63" i="17" s="1"/>
  <c r="I65" i="17"/>
  <c r="H65" i="17" s="1"/>
  <c r="I67" i="17"/>
  <c r="H67" i="17" s="1"/>
  <c r="K67" i="17" s="1"/>
  <c r="I69" i="17"/>
  <c r="H69" i="17" s="1"/>
  <c r="K69" i="17" s="1"/>
  <c r="I71" i="17"/>
  <c r="H71" i="17" s="1"/>
  <c r="K71" i="17" s="1"/>
  <c r="I25" i="17"/>
  <c r="H25" i="17" s="1"/>
  <c r="J25" i="17" s="1"/>
  <c r="J22" i="17"/>
  <c r="K22" i="17"/>
  <c r="J23" i="17"/>
  <c r="K23" i="17"/>
  <c r="J27" i="17"/>
  <c r="K27" i="17"/>
  <c r="J26" i="17"/>
  <c r="K26" i="17"/>
  <c r="J21" i="17"/>
  <c r="K21" i="17"/>
  <c r="I29" i="17"/>
  <c r="H29" i="17" s="1"/>
  <c r="I30" i="17"/>
  <c r="H30" i="17" s="1"/>
  <c r="I31" i="17"/>
  <c r="H31" i="17" s="1"/>
  <c r="I32" i="17"/>
  <c r="H32" i="17" s="1"/>
  <c r="I33" i="17"/>
  <c r="H33" i="17" s="1"/>
  <c r="I34" i="17"/>
  <c r="H34" i="17" s="1"/>
  <c r="I35" i="17"/>
  <c r="H35" i="17" s="1"/>
  <c r="I36" i="17"/>
  <c r="H36" i="17" s="1"/>
  <c r="I37" i="17"/>
  <c r="H37" i="17" s="1"/>
  <c r="K41" i="17"/>
  <c r="J41" i="17"/>
  <c r="K45" i="17"/>
  <c r="J45" i="17"/>
  <c r="K56" i="17"/>
  <c r="J56" i="17"/>
  <c r="K64" i="17"/>
  <c r="J64" i="17"/>
  <c r="K72" i="17"/>
  <c r="J72" i="17"/>
  <c r="K40" i="17"/>
  <c r="J40" i="17"/>
  <c r="K44" i="17"/>
  <c r="J44" i="17"/>
  <c r="J51" i="17"/>
  <c r="K59" i="17"/>
  <c r="J67" i="17"/>
  <c r="H20" i="17"/>
  <c r="K24" i="17"/>
  <c r="K28" i="17"/>
  <c r="K39" i="17"/>
  <c r="J39" i="17"/>
  <c r="K43" i="17"/>
  <c r="J43" i="17"/>
  <c r="K50" i="17"/>
  <c r="J50" i="17"/>
  <c r="K54" i="17"/>
  <c r="J58" i="17"/>
  <c r="K62" i="17"/>
  <c r="K70" i="17"/>
  <c r="F46" i="17"/>
  <c r="K38" i="17"/>
  <c r="J38" i="17"/>
  <c r="K42" i="17"/>
  <c r="J42" i="17"/>
  <c r="I49" i="17"/>
  <c r="F73" i="17"/>
  <c r="J53" i="17"/>
  <c r="K57" i="17"/>
  <c r="J57" i="17"/>
  <c r="J61" i="17"/>
  <c r="K65" i="17"/>
  <c r="J65" i="17"/>
  <c r="J69" i="17"/>
  <c r="Y65" i="16"/>
  <c r="X65" i="16"/>
  <c r="W65" i="16"/>
  <c r="V65" i="16"/>
  <c r="U65" i="16"/>
  <c r="T65" i="16"/>
  <c r="S65" i="16"/>
  <c r="R65" i="16"/>
  <c r="Q65" i="16"/>
  <c r="P65" i="16"/>
  <c r="O65" i="16"/>
  <c r="N65" i="16"/>
  <c r="M65" i="16"/>
  <c r="J60" i="17" l="1"/>
  <c r="J52" i="17"/>
  <c r="J66" i="17"/>
  <c r="K68" i="17"/>
  <c r="K25" i="17"/>
  <c r="F75" i="17"/>
  <c r="J71" i="17"/>
  <c r="J63" i="17"/>
  <c r="J55" i="17"/>
  <c r="I46" i="17"/>
  <c r="I75" i="17" s="1"/>
  <c r="I73" i="17"/>
  <c r="H49" i="17"/>
  <c r="H46" i="17"/>
  <c r="J20" i="17"/>
  <c r="K20" i="17"/>
  <c r="J36" i="17"/>
  <c r="K36" i="17"/>
  <c r="J32" i="17"/>
  <c r="K32" i="17"/>
  <c r="J35" i="17"/>
  <c r="K35" i="17"/>
  <c r="J31" i="17"/>
  <c r="K31" i="17"/>
  <c r="J34" i="17"/>
  <c r="K34" i="17"/>
  <c r="J30" i="17"/>
  <c r="K30" i="17"/>
  <c r="K37" i="17"/>
  <c r="J37" i="17"/>
  <c r="J33" i="17"/>
  <c r="K33" i="17"/>
  <c r="J29" i="17"/>
  <c r="K29" i="17"/>
  <c r="J46" i="17" l="1"/>
  <c r="K49" i="17"/>
  <c r="K73" i="17" s="1"/>
  <c r="H73" i="17"/>
  <c r="H75" i="17" s="1"/>
  <c r="J49" i="17"/>
  <c r="J73" i="17" s="1"/>
  <c r="K46" i="17"/>
  <c r="K75" i="17" l="1"/>
  <c r="J75" i="17"/>
  <c r="F122" i="15" l="1"/>
  <c r="F123" i="15" s="1"/>
  <c r="D120" i="15"/>
  <c r="E121" i="15" s="1"/>
  <c r="E123" i="15" s="1"/>
  <c r="G111" i="15"/>
  <c r="G112" i="15" s="1"/>
  <c r="F110" i="15"/>
  <c r="F112" i="15" s="1"/>
  <c r="E109" i="15"/>
  <c r="E112" i="15" s="1"/>
  <c r="G101" i="15"/>
  <c r="G102" i="15" s="1"/>
  <c r="F100" i="15"/>
  <c r="F102" i="15" s="1"/>
  <c r="E99" i="15"/>
  <c r="E102" i="15" s="1"/>
  <c r="G89" i="15"/>
  <c r="G90" i="15" s="1"/>
  <c r="F88" i="15"/>
  <c r="F90" i="15" s="1"/>
  <c r="E87" i="15"/>
  <c r="E90" i="15" s="1"/>
  <c r="C71" i="15"/>
  <c r="C70" i="15"/>
  <c r="C73" i="15" s="1"/>
  <c r="D58" i="15"/>
  <c r="F58" i="15" s="1"/>
  <c r="E56" i="15"/>
  <c r="D36" i="15"/>
  <c r="C36" i="15"/>
  <c r="D35" i="15"/>
  <c r="C35" i="15"/>
  <c r="D34" i="15"/>
  <c r="E34" i="15" s="1"/>
  <c r="E26" i="15" s="1"/>
  <c r="D54" i="15" s="1"/>
  <c r="C34" i="15"/>
  <c r="D33" i="15"/>
  <c r="C33" i="15"/>
  <c r="D32" i="15"/>
  <c r="C32" i="15"/>
  <c r="D31" i="15"/>
  <c r="C31" i="15"/>
  <c r="E31" i="15" l="1"/>
  <c r="E33" i="15"/>
  <c r="E35" i="15"/>
  <c r="E32" i="15"/>
  <c r="E36" i="15"/>
  <c r="C72" i="15"/>
  <c r="E55" i="15"/>
  <c r="D55" i="15" s="1"/>
  <c r="F55" i="15" s="1"/>
  <c r="C74" i="15"/>
  <c r="D57" i="15" s="1"/>
  <c r="F57" i="15" s="1"/>
  <c r="F54" i="15"/>
  <c r="E54" i="15"/>
  <c r="D123" i="15"/>
  <c r="G123" i="15" s="1"/>
  <c r="D56" i="15" s="1"/>
  <c r="F56" i="15" s="1"/>
  <c r="E58" i="15"/>
  <c r="E57" i="15" l="1"/>
  <c r="E59" i="15"/>
  <c r="F59" i="15"/>
  <c r="D59" i="15"/>
  <c r="H38" i="6" l="1"/>
  <c r="D38" i="6"/>
  <c r="K38" i="6" l="1"/>
  <c r="G38" i="6"/>
  <c r="L38" i="6" l="1"/>
</calcChain>
</file>

<file path=xl/sharedStrings.xml><?xml version="1.0" encoding="utf-8"?>
<sst xmlns="http://schemas.openxmlformats.org/spreadsheetml/2006/main" count="1166" uniqueCount="424">
  <si>
    <t>Stationary Source</t>
  </si>
  <si>
    <t>Facility</t>
  </si>
  <si>
    <t>Component Type</t>
  </si>
  <si>
    <t>Valves</t>
  </si>
  <si>
    <t>Others</t>
  </si>
  <si>
    <t>PRDs</t>
  </si>
  <si>
    <t>Pump Seals</t>
  </si>
  <si>
    <t>Compressor Seals</t>
  </si>
  <si>
    <t>Totals</t>
  </si>
  <si>
    <t>Major</t>
  </si>
  <si>
    <t>Critical</t>
  </si>
  <si>
    <t>Inaccessible</t>
  </si>
  <si>
    <t>Unsafe to Monitor</t>
  </si>
  <si>
    <t>ABC Prod Zone A</t>
  </si>
  <si>
    <t>Accessible</t>
  </si>
  <si>
    <t>Subtotal</t>
  </si>
  <si>
    <t>DeMinimis</t>
  </si>
  <si>
    <t>Gas</t>
  </si>
  <si>
    <t>HvyLiq</t>
  </si>
  <si>
    <t>LtLiq</t>
  </si>
  <si>
    <t>Area</t>
  </si>
  <si>
    <t>Subarea</t>
  </si>
  <si>
    <t>Location</t>
  </si>
  <si>
    <t>Service</t>
  </si>
  <si>
    <t>Stream</t>
  </si>
  <si>
    <t>Valve</t>
  </si>
  <si>
    <t>Produced</t>
  </si>
  <si>
    <t>Other</t>
  </si>
  <si>
    <t>Inlet</t>
  </si>
  <si>
    <r>
      <rPr>
        <u/>
        <sz val="11"/>
        <color theme="1"/>
        <rFont val="Calibri"/>
        <family val="2"/>
        <scheme val="minor"/>
      </rPr>
      <t>Assumptions</t>
    </r>
    <r>
      <rPr>
        <sz val="11"/>
        <color theme="1"/>
        <rFont val="Calibri"/>
        <family val="2"/>
        <scheme val="minor"/>
      </rPr>
      <t>: 80% control for FHC I&amp;M Program per SBCAPCD P&amp;P 6100.045.1994; production field THC emission factors and ROC/THC ratios per P&amp;P 6100.061.1998</t>
    </r>
  </si>
  <si>
    <t xml:space="preserve">    </t>
  </si>
  <si>
    <t>Pump seal</t>
  </si>
  <si>
    <t>ROC lb/day</t>
  </si>
  <si>
    <t>ROC emissions (lb/day)</t>
  </si>
  <si>
    <t>ROC EmFac (lb/day-clp)</t>
  </si>
  <si>
    <t>Comp Type</t>
  </si>
  <si>
    <t>Clp's</t>
  </si>
  <si>
    <t>Gas/Lt Liq Service</t>
  </si>
  <si>
    <t>Oil Service</t>
  </si>
  <si>
    <t>Project Date</t>
  </si>
  <si>
    <t>Project</t>
  </si>
  <si>
    <t>Example</t>
  </si>
  <si>
    <t>MA</t>
  </si>
  <si>
    <t>Crude Oil</t>
  </si>
  <si>
    <t>Light Liquid</t>
  </si>
  <si>
    <t>Plug</t>
  </si>
  <si>
    <t>SS</t>
  </si>
  <si>
    <t>Tube Fitting</t>
  </si>
  <si>
    <t>Flange</t>
  </si>
  <si>
    <t>Ground level NW</t>
  </si>
  <si>
    <t>Reducer</t>
  </si>
  <si>
    <t>Gauge</t>
  </si>
  <si>
    <t>90 Degree</t>
  </si>
  <si>
    <t>Threadolet</t>
  </si>
  <si>
    <t>Thermowell</t>
  </si>
  <si>
    <t>Pump</t>
  </si>
  <si>
    <t>Ground level NE</t>
  </si>
  <si>
    <t>Nipple</t>
  </si>
  <si>
    <t>Union</t>
  </si>
  <si>
    <t>Condensate</t>
  </si>
  <si>
    <t>Ground level N</t>
  </si>
  <si>
    <t>Ground level S</t>
  </si>
  <si>
    <t>Ground level center N</t>
  </si>
  <si>
    <t>Ground level center S</t>
  </si>
  <si>
    <t>Natural</t>
  </si>
  <si>
    <t>Gas line east</t>
  </si>
  <si>
    <t>NIU Feed above ground level center NW</t>
  </si>
  <si>
    <t>NIU Feed above ground level center NE</t>
  </si>
  <si>
    <t>NIU Feed above ground level center N</t>
  </si>
  <si>
    <t>CR</t>
  </si>
  <si>
    <t>25-55L Feed above ground level SE</t>
  </si>
  <si>
    <t>Bottom off SW</t>
  </si>
  <si>
    <t>Discharge W</t>
  </si>
  <si>
    <t>Suction ground level SE</t>
  </si>
  <si>
    <t>Discharge SW</t>
  </si>
  <si>
    <t>Row 1 top NW</t>
  </si>
  <si>
    <t>Inlet bottom NW</t>
  </si>
  <si>
    <t>Inlet ground level NW</t>
  </si>
  <si>
    <t>Reject Oil Out NW</t>
  </si>
  <si>
    <t>PS</t>
  </si>
  <si>
    <t>CS</t>
  </si>
  <si>
    <t>FL</t>
  </si>
  <si>
    <t>TC</t>
  </si>
  <si>
    <t>BON</t>
  </si>
  <si>
    <t>VS</t>
  </si>
  <si>
    <t>DM</t>
  </si>
  <si>
    <t>US</t>
  </si>
  <si>
    <t>IA</t>
  </si>
  <si>
    <t>Size</t>
  </si>
  <si>
    <t>Permit/s Requiring FHC I&amp;M Plan</t>
  </si>
  <si>
    <t>Facility Name</t>
  </si>
  <si>
    <t>FID No.</t>
  </si>
  <si>
    <t>Stationary Source Name:</t>
  </si>
  <si>
    <t>SSID No.</t>
  </si>
  <si>
    <t>Facility Name:</t>
  </si>
  <si>
    <t>BACT</t>
  </si>
  <si>
    <t>TagNo</t>
  </si>
  <si>
    <t>CompType</t>
  </si>
  <si>
    <t>Date Installed</t>
  </si>
  <si>
    <t>LDAR ppm</t>
  </si>
  <si>
    <t>Days Remaining for Repair/Replacement</t>
  </si>
  <si>
    <t>Critical?</t>
  </si>
  <si>
    <t>Status</t>
  </si>
  <si>
    <t>PRD</t>
  </si>
  <si>
    <t>ABC Production Inc., Zone A</t>
  </si>
  <si>
    <t>dpm</t>
  </si>
  <si>
    <t>Leak Rate</t>
  </si>
  <si>
    <t>ppm</t>
  </si>
  <si>
    <t>Repair Action</t>
  </si>
  <si>
    <t>Subtotals</t>
  </si>
  <si>
    <t>Leaking components awaiting repair as of:</t>
  </si>
  <si>
    <t>Component Totals - Subject to Rule 331 Inspection Requirements</t>
  </si>
  <si>
    <t>Flange/Connection/Bonnet</t>
  </si>
  <si>
    <t>Compressor Seal</t>
  </si>
  <si>
    <t>Pump Seal</t>
  </si>
  <si>
    <t>Open-ended Line</t>
  </si>
  <si>
    <t>Pressure Relief Device</t>
  </si>
  <si>
    <t>Leak Path Summary - P&amp;P 061</t>
  </si>
  <si>
    <t>Miscellaneous Totals - Rule 331 Components</t>
  </si>
  <si>
    <t>SSID</t>
  </si>
  <si>
    <t>FID</t>
  </si>
  <si>
    <t>ABC Production, Inc. Zone A</t>
  </si>
  <si>
    <t>Company</t>
  </si>
  <si>
    <t>Completed BACT Replacements</t>
  </si>
  <si>
    <t>Pressure Relief Devices</t>
  </si>
  <si>
    <t>Component Leak Path Type</t>
  </si>
  <si>
    <t>Permitted Count</t>
  </si>
  <si>
    <t>As-built Count</t>
  </si>
  <si>
    <t>Sum</t>
  </si>
  <si>
    <t>Gas/ Condensate</t>
  </si>
  <si>
    <t>Oil</t>
  </si>
  <si>
    <t>Date of Change</t>
  </si>
  <si>
    <t>Permit No.</t>
  </si>
  <si>
    <t>Description of Change</t>
  </si>
  <si>
    <t>Lease CC</t>
  </si>
  <si>
    <t>9.2.3: Component Inventory List</t>
  </si>
  <si>
    <t>ABC Production Zone A, Lease CC</t>
  </si>
  <si>
    <t>9.2.4: Component Summary Report</t>
  </si>
  <si>
    <t>9.2.5: Component Leak Path Count Change Report</t>
  </si>
  <si>
    <t xml:space="preserve">9.2.7: Exempt Components List </t>
  </si>
  <si>
    <t>ABC Production, Inc. Zone A, Lease CC</t>
  </si>
  <si>
    <t xml:space="preserve">9.2.8: Repair/BACT Summary </t>
  </si>
  <si>
    <t xml:space="preserve">9.2.6: De Minimis Components List </t>
  </si>
  <si>
    <t>Permits this O&amp;G lease</t>
  </si>
  <si>
    <t>Date:</t>
  </si>
  <si>
    <t>Date</t>
  </si>
  <si>
    <t>Please show a date on the list.</t>
  </si>
  <si>
    <t>Page 1 of 2</t>
  </si>
  <si>
    <t>ADMINISTRATIVE INFORMATION</t>
  </si>
  <si>
    <t xml:space="preserve">Attachment: </t>
  </si>
  <si>
    <t>Company:  ABC Production, Inc.  Zone A</t>
  </si>
  <si>
    <t>Version:</t>
  </si>
  <si>
    <t>fhc-kvb5.xls</t>
  </si>
  <si>
    <t>Facility:     Lease CC</t>
  </si>
  <si>
    <t>Path &amp; File Name:</t>
  </si>
  <si>
    <t>Reference:  CARB speciation profiles #s 529, 530, 531, 532</t>
  </si>
  <si>
    <t>Data</t>
  </si>
  <si>
    <t>Value</t>
  </si>
  <si>
    <t>Units</t>
  </si>
  <si>
    <t>Number of Active Wells at Facility</t>
  </si>
  <si>
    <t>wells</t>
  </si>
  <si>
    <t>Facility Gas Production</t>
  </si>
  <si>
    <t>scf/day</t>
  </si>
  <si>
    <t>Facility Dry Oil Production</t>
  </si>
  <si>
    <t>bbls/day</t>
  </si>
  <si>
    <t>Facility Gas to Oil Ratio (if &gt; 500 then default to 501)</t>
  </si>
  <si>
    <t>scf/bbl</t>
  </si>
  <si>
    <t>API Gravity</t>
  </si>
  <si>
    <t>degrees API</t>
  </si>
  <si>
    <t>Facility Model Number</t>
  </si>
  <si>
    <t>dimensionless</t>
  </si>
  <si>
    <t>No. of Steam Drive Wells with Control Vents</t>
  </si>
  <si>
    <t>No. of Steam Drive Wells with Uncontrolled Vents</t>
  </si>
  <si>
    <t>No. of Cyclic Steam Drive Wells with Control Vents</t>
  </si>
  <si>
    <t>No. of Cyclic Steam Drive Wells with Uncontrolled Vents</t>
  </si>
  <si>
    <t>Composite Valve and Fitting Emission Factor</t>
  </si>
  <si>
    <t>lb/day-well</t>
  </si>
  <si>
    <t>Fitting</t>
  </si>
  <si>
    <t>Composite</t>
  </si>
  <si>
    <t>ROG Emission Factor</t>
  </si>
  <si>
    <t>Lease Model</t>
  </si>
  <si>
    <t>Without Ethane</t>
  </si>
  <si>
    <t>lbs/day-well</t>
  </si>
  <si>
    <t>Model #1:  Number of wells on lease is less than 10 and the GOR is less than 500.</t>
  </si>
  <si>
    <t>Model #2:  Number of wells on lease is between 10 and 50 and the GOR is less than 500.</t>
  </si>
  <si>
    <t>Model #3:  Number of wells on lease is greater than 50 and the GOR is less than 500.</t>
  </si>
  <si>
    <t>Model #4:  Number of wells on lease is less than 10 and the GOR is greater than 500.</t>
  </si>
  <si>
    <t>Model #5:  Number of wells on lease is between 10 and 50 and the GOR is greater than 500.</t>
  </si>
  <si>
    <t>Model #6:  Number of wells on lease is greater than 50 and the GOR is greater than 500.</t>
  </si>
  <si>
    <t>(See CARB/KVB FHC Emission Calc Revision 3 of March 31, 1997 (FHC Calcs - KVB Method Worksheet.doc) for emission factor values)</t>
  </si>
  <si>
    <t>ROC Emission Calculation Summary Results Table</t>
  </si>
  <si>
    <r>
      <t>Reactive Organic Compounds</t>
    </r>
    <r>
      <rPr>
        <b/>
        <vertAlign val="superscript"/>
        <sz val="10"/>
        <rFont val="Arial"/>
        <family val="2"/>
      </rPr>
      <t>(c)</t>
    </r>
  </si>
  <si>
    <t>lbs/hr</t>
  </si>
  <si>
    <t>lbs/day</t>
  </si>
  <si>
    <t>tons/year</t>
  </si>
  <si>
    <r>
      <t>Valves and Fittings</t>
    </r>
    <r>
      <rPr>
        <vertAlign val="superscript"/>
        <sz val="10"/>
        <rFont val="Arial"/>
        <family val="2"/>
      </rPr>
      <t>(a)</t>
    </r>
  </si>
  <si>
    <r>
      <t>Sumps, Wastewater Tanks and Well Cellars</t>
    </r>
    <r>
      <rPr>
        <vertAlign val="superscript"/>
        <sz val="10"/>
        <rFont val="Arial"/>
        <family val="2"/>
      </rPr>
      <t>(b)</t>
    </r>
  </si>
  <si>
    <r>
      <t xml:space="preserve">Oil/Water Separators </t>
    </r>
    <r>
      <rPr>
        <vertAlign val="superscript"/>
        <sz val="10"/>
        <rFont val="Arial"/>
        <family val="2"/>
      </rPr>
      <t>(b)</t>
    </r>
  </si>
  <si>
    <r>
      <t>Pumps/Compressors/Well Heads</t>
    </r>
    <r>
      <rPr>
        <vertAlign val="superscript"/>
        <sz val="10"/>
        <rFont val="Arial"/>
        <family val="2"/>
      </rPr>
      <t>(a)</t>
    </r>
  </si>
  <si>
    <t>Enhanced Oil Recovery Fields</t>
  </si>
  <si>
    <t>Total Facility FHC Emissions (ROC)</t>
  </si>
  <si>
    <t>a:  Emissions amount reflect an 80% reduction due to Rule 331 implementation.</t>
  </si>
  <si>
    <t>b:  Emissions reflect control efficiencies where applicable.</t>
  </si>
  <si>
    <t>c:  Due to rounding, the totals may not appear correct</t>
  </si>
  <si>
    <t>Page 2 of 2</t>
  </si>
  <si>
    <t>Emission Calculation by Emission Unit</t>
  </si>
  <si>
    <t>Pumps, Compressors, and Well Heads Uncontrolled Emission Calculations</t>
  </si>
  <si>
    <t>Number of Wells</t>
  </si>
  <si>
    <t>Wellhead emissions</t>
  </si>
  <si>
    <t>ROC (lb/day)</t>
  </si>
  <si>
    <t>FHC from Pumps</t>
  </si>
  <si>
    <t>FHC from Compressors</t>
  </si>
  <si>
    <t>Total:</t>
  </si>
  <si>
    <t>Sumps, Uncovered Wastewater Tanks, and Well Cellars</t>
  </si>
  <si>
    <t>Efficiency Factor:</t>
  </si>
  <si>
    <t>(70% for well cellars, 0% for uncovered WW tanks, sumps and pits)</t>
  </si>
  <si>
    <t>Unit Type/Emissions Factor</t>
  </si>
  <si>
    <t>Heavy Oil Service</t>
  </si>
  <si>
    <t>Light Oil Service</t>
  </si>
  <si>
    <t>Primary</t>
  </si>
  <si>
    <r>
      <t>(lb ROC/ft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-day)</t>
    </r>
  </si>
  <si>
    <t>Secondary</t>
  </si>
  <si>
    <t>Tertiary</t>
  </si>
  <si>
    <t>Surface Area and Type (emissions in lbs/day)</t>
  </si>
  <si>
    <t>Description/Name</t>
  </si>
  <si>
    <t>Number</t>
  </si>
  <si>
    <r>
      <t>Area (ft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</si>
  <si>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Well Cellars</t>
    </r>
    <r>
      <rPr>
        <vertAlign val="superscript"/>
        <sz val="10"/>
        <rFont val="Arial"/>
        <family val="2"/>
      </rPr>
      <t>(a)</t>
    </r>
  </si>
  <si>
    <t>(a) A 70% reduction is applied for implementation</t>
  </si>
  <si>
    <r>
      <t xml:space="preserve">     of Rule 344 (</t>
    </r>
    <r>
      <rPr>
        <i/>
        <sz val="10"/>
        <rFont val="Arial"/>
        <family val="2"/>
      </rPr>
      <t>Sumps, Pits, and Well Cellars</t>
    </r>
    <r>
      <rPr>
        <sz val="11"/>
        <color theme="1"/>
        <rFont val="Calibri"/>
        <family val="2"/>
        <scheme val="minor"/>
      </rPr>
      <t>).</t>
    </r>
  </si>
  <si>
    <t>Covered Wastewater Tanks</t>
  </si>
  <si>
    <t xml:space="preserve">Efficiency Factor: </t>
  </si>
  <si>
    <t>Covered Wastewater Tanks Equipped with Vapor Recovery</t>
  </si>
  <si>
    <t>Oil/Water Separators</t>
  </si>
  <si>
    <t>Efficiency Factor: varies</t>
  </si>
  <si>
    <t>(85% for cover, 95% for VRS, 0% for open top)</t>
  </si>
  <si>
    <t>Emissions Factor:</t>
  </si>
  <si>
    <t>(lb ROC/MM Gal)</t>
  </si>
  <si>
    <t>Type (emissions in lbs/day)</t>
  </si>
  <si>
    <t xml:space="preserve">Total  </t>
  </si>
  <si>
    <t>TP-MM Gal</t>
  </si>
  <si>
    <t>Equipped with Cover</t>
  </si>
  <si>
    <t>Equipped with VRS</t>
  </si>
  <si>
    <t>Open Top</t>
  </si>
  <si>
    <t>lb/day</t>
  </si>
  <si>
    <t>Since January 4, 2012</t>
  </si>
  <si>
    <t>Plan Revn No.</t>
  </si>
  <si>
    <t>Appendix Updates</t>
  </si>
  <si>
    <t>All Sec. 9.2.X tables</t>
  </si>
  <si>
    <t>Date of Plan Revn or Appendix Update</t>
  </si>
  <si>
    <t>Rule 331</t>
  </si>
  <si>
    <t>P&amp;P 6100.061 CLPs</t>
  </si>
  <si>
    <t>Acronym</t>
  </si>
  <si>
    <t>Definition</t>
  </si>
  <si>
    <t>Item</t>
  </si>
  <si>
    <t>Size "</t>
  </si>
  <si>
    <t>In Svc?</t>
  </si>
  <si>
    <t>Permit/s</t>
  </si>
  <si>
    <t>Y</t>
  </si>
  <si>
    <t>Unsafe to monitor</t>
  </si>
  <si>
    <t>Major component</t>
  </si>
  <si>
    <t>Stainless Steel</t>
  </si>
  <si>
    <t>Critical component</t>
  </si>
  <si>
    <t>De Minimus</t>
  </si>
  <si>
    <t>Valve Stem</t>
  </si>
  <si>
    <t>Atm. Pressure Relief Device</t>
  </si>
  <si>
    <t>Transfer Pump</t>
  </si>
  <si>
    <t>Hvy Liquid</t>
  </si>
  <si>
    <t>Sums</t>
  </si>
  <si>
    <t>Tag   CC-</t>
  </si>
  <si>
    <t>Valve (bonnet)</t>
  </si>
  <si>
    <t>CC-115 (FUEL GAS SCRUBBER)</t>
  </si>
  <si>
    <t>CC-510 (FIN FAN#1 COOLING UNIT)</t>
  </si>
  <si>
    <t>P-004CC (CONDENSATE PUMP)</t>
  </si>
  <si>
    <t>CC-121 (LACT UNIT)</t>
  </si>
  <si>
    <t>P-114 (REJECT OIL PUMP)</t>
  </si>
  <si>
    <t>FF-12 (FIN FAN#1 COOLING UNIT)</t>
  </si>
  <si>
    <t>Tank 444 CCX (Production Well)</t>
  </si>
  <si>
    <t>PTO 99892</t>
  </si>
  <si>
    <t>P99892</t>
  </si>
  <si>
    <t>Adds oil storage tank 444 CCX; component changes</t>
  </si>
  <si>
    <t>Storage CC</t>
  </si>
  <si>
    <t>Note: As of December 30, 2012, there are no de minimis components associated with this facility.</t>
  </si>
  <si>
    <t>Flanges and Connections incl Bonnets</t>
  </si>
  <si>
    <t>Total Jan 2012 - Dec 2012</t>
  </si>
  <si>
    <r>
      <rPr>
        <u/>
        <sz val="11"/>
        <color theme="1"/>
        <rFont val="Calibri"/>
        <family val="2"/>
        <scheme val="minor"/>
      </rPr>
      <t>Sample Calculation</t>
    </r>
    <r>
      <rPr>
        <sz val="11"/>
        <color theme="1"/>
        <rFont val="Calibri"/>
        <family val="2"/>
        <scheme val="minor"/>
      </rPr>
      <t xml:space="preserve">: </t>
    </r>
  </si>
  <si>
    <t>No components requiring BACT at this facility.</t>
  </si>
  <si>
    <t>No components awaiting repair at this time.</t>
  </si>
  <si>
    <t>FID:</t>
  </si>
  <si>
    <t>SSID:</t>
  </si>
  <si>
    <t>WWT CC-4</t>
  </si>
  <si>
    <t>OWS CC-3</t>
  </si>
  <si>
    <t>Processed by:  3Party, Inc.</t>
  </si>
  <si>
    <t xml:space="preserve">9.2.1: Permit/s Requiring FHC I&amp;M Plan </t>
  </si>
  <si>
    <t>Santa Barbara County APCD Fugitive ROC Emissions Calculation - CLP Method</t>
  </si>
  <si>
    <t>Company: ABC Production, Inc.</t>
  </si>
  <si>
    <t>Facility:  Lease BB</t>
  </si>
  <si>
    <t>Processed by: 3Party Inc.</t>
  </si>
  <si>
    <t>Date: December 30, 2012</t>
  </si>
  <si>
    <r>
      <t xml:space="preserve">Facility Type: (Choose </t>
    </r>
    <r>
      <rPr>
        <b/>
        <i/>
        <sz val="10"/>
        <rFont val="Times New Roman"/>
        <family val="1"/>
      </rPr>
      <t>one</t>
    </r>
    <r>
      <rPr>
        <b/>
        <sz val="10"/>
        <rFont val="Times New Roman"/>
        <family val="1"/>
      </rPr>
      <t xml:space="preserve"> facility type by marking the box to the right of the facility type with an "x")</t>
    </r>
  </si>
  <si>
    <t>Production Field</t>
  </si>
  <si>
    <t>x</t>
  </si>
  <si>
    <t>Gas Processing Plant</t>
  </si>
  <si>
    <t>Refinery</t>
  </si>
  <si>
    <t>Offshore Platform</t>
  </si>
  <si>
    <t>Component:</t>
  </si>
  <si>
    <t>Count</t>
  </si>
  <si>
    <r>
      <t>THC</t>
    </r>
    <r>
      <rPr>
        <b/>
        <vertAlign val="superscript"/>
        <sz val="10"/>
        <rFont val="Times New Roman"/>
        <family val="1"/>
      </rPr>
      <t>1</t>
    </r>
    <r>
      <rPr>
        <b/>
        <sz val="10"/>
        <rFont val="Times New Roman"/>
        <family val="1"/>
      </rPr>
      <t xml:space="preserve"> Emission Factor (lb/day-clp)</t>
    </r>
  </si>
  <si>
    <t xml:space="preserve"> ROC/THC Ratio</t>
  </si>
  <si>
    <t>Uncontrolled ROC Emission (lb/day)</t>
  </si>
  <si>
    <r>
      <t>Control</t>
    </r>
    <r>
      <rPr>
        <b/>
        <vertAlign val="superscript"/>
        <sz val="10"/>
        <rFont val="Times New Roman"/>
        <family val="1"/>
      </rPr>
      <t>2,3</t>
    </r>
    <r>
      <rPr>
        <b/>
        <sz val="10"/>
        <rFont val="Times New Roman"/>
        <family val="1"/>
      </rPr>
      <t xml:space="preserve"> Efficiency</t>
    </r>
  </si>
  <si>
    <t>Controlled ROC Emission (lb/hr)</t>
  </si>
  <si>
    <t>Controlled ROC Emission (lb/day)</t>
  </si>
  <si>
    <t>Controlled ROC Emission (Tons/Qtr)</t>
  </si>
  <si>
    <t>Controlled ROC Emission (Tons/Yr)</t>
  </si>
  <si>
    <t>Gas Condensate Service</t>
  </si>
  <si>
    <t>Valves - Accessible/Inaccessible</t>
  </si>
  <si>
    <t>Valves - Unsafe</t>
  </si>
  <si>
    <t xml:space="preserve">Valves - Bellows </t>
  </si>
  <si>
    <t>Valves - Bellows / Background ppmv</t>
  </si>
  <si>
    <t>Valves - Category A</t>
  </si>
  <si>
    <t>Valves - Category B</t>
  </si>
  <si>
    <t>Valves - Category C</t>
  </si>
  <si>
    <t>Valves - Category D</t>
  </si>
  <si>
    <t>Valves - Category E</t>
  </si>
  <si>
    <t>Valves - Category F</t>
  </si>
  <si>
    <t>Valves - Category G</t>
  </si>
  <si>
    <t>Flanges/Connections - Accessible/Inaccessible</t>
  </si>
  <si>
    <t>Flanges/Connections - Unsafe</t>
  </si>
  <si>
    <t>Flanges/Connections - Category A</t>
  </si>
  <si>
    <t>Flanges/Connections - Category B</t>
  </si>
  <si>
    <t>Flanges/Connections - Category C</t>
  </si>
  <si>
    <t>Flanges/Connections - Category D</t>
  </si>
  <si>
    <t>Flanges/Connections - Category E</t>
  </si>
  <si>
    <t>Flanges/Connections - Category F</t>
  </si>
  <si>
    <t>Flanges/Connections - Category G</t>
  </si>
  <si>
    <t>Compressor Seals - To Atm</t>
  </si>
  <si>
    <t>Compressor Seals - To VRS</t>
  </si>
  <si>
    <t>PSV - To Atm/Flare</t>
  </si>
  <si>
    <t>PSV - To VRS</t>
  </si>
  <si>
    <t>Pump Seals - Single</t>
  </si>
  <si>
    <t>Pump Seals - Dual/Tandem</t>
  </si>
  <si>
    <t>Sub Total</t>
  </si>
  <si>
    <t>Total</t>
  </si>
  <si>
    <t>Notes:</t>
  </si>
  <si>
    <t>1  APCD P&amp;P # 6100.061.1998.</t>
  </si>
  <si>
    <t>2  A 80% efficiency is assigned to fugitive components Rule 331 implementation.</t>
  </si>
  <si>
    <t>3  Emission Control efficiencies for the "category x" components are identified in the attached "FHC Control Factors" (Table 2 of P&amp;P 6100.061.1998)</t>
  </si>
  <si>
    <t>(Table 2 of P&amp;P 6100.061.1998)</t>
  </si>
  <si>
    <t>Fugitive Emission Factors for Oil and Gas Facilities</t>
  </si>
  <si>
    <t>Using the Component Count Method (P&amp;P 6100.061.1998)</t>
  </si>
  <si>
    <t>FACILITY TYPE</t>
  </si>
  <si>
    <r>
      <t xml:space="preserve">Production Field </t>
    </r>
    <r>
      <rPr>
        <b/>
        <vertAlign val="superscript"/>
        <sz val="10"/>
        <rFont val="Times New Roman"/>
        <family val="1"/>
      </rPr>
      <t>1</t>
    </r>
  </si>
  <si>
    <r>
      <t xml:space="preserve">Gas Processing Plant </t>
    </r>
    <r>
      <rPr>
        <b/>
        <vertAlign val="superscript"/>
        <sz val="10"/>
        <rFont val="Times New Roman"/>
        <family val="1"/>
      </rPr>
      <t>2</t>
    </r>
  </si>
  <si>
    <r>
      <t xml:space="preserve">Refinery </t>
    </r>
    <r>
      <rPr>
        <b/>
        <vertAlign val="superscript"/>
        <sz val="10"/>
        <rFont val="Times New Roman"/>
        <family val="1"/>
      </rPr>
      <t>3</t>
    </r>
  </si>
  <si>
    <r>
      <t xml:space="preserve">Offshore Platform </t>
    </r>
    <r>
      <rPr>
        <b/>
        <vertAlign val="superscript"/>
        <sz val="10"/>
        <rFont val="Times New Roman"/>
        <family val="1"/>
      </rPr>
      <t>4</t>
    </r>
  </si>
  <si>
    <r>
      <t>THC EF</t>
    </r>
    <r>
      <rPr>
        <vertAlign val="superscript"/>
        <sz val="10"/>
        <rFont val="Times New Roman"/>
        <family val="1"/>
      </rPr>
      <t>5</t>
    </r>
  </si>
  <si>
    <t>ROC/THC</t>
  </si>
  <si>
    <t>THC EF</t>
  </si>
  <si>
    <t>lb/day-Comp-lp</t>
  </si>
  <si>
    <t>Ratio</t>
  </si>
  <si>
    <t>Gas/Condensate Service</t>
  </si>
  <si>
    <t>Connection</t>
  </si>
  <si>
    <t>Pressure Relief</t>
  </si>
  <si>
    <r>
      <t xml:space="preserve">Oil Service </t>
    </r>
    <r>
      <rPr>
        <b/>
        <vertAlign val="superscript"/>
        <sz val="10"/>
        <rFont val="Times New Roman"/>
        <family val="1"/>
      </rPr>
      <t>6</t>
    </r>
  </si>
  <si>
    <t>NOTES:</t>
  </si>
  <si>
    <t>(1)</t>
  </si>
  <si>
    <t>Eaton, W.S. et al., "Fugitive Hydrocarbon Emissions From Petroleum Operations", American Petroleum Insttitute, Rockwell International, March 1980, See Attachment 1 for tehmethodology used to consolidate the API emission factors .</t>
  </si>
  <si>
    <t>(2)</t>
  </si>
  <si>
    <t>Harris, G.E. et al., "Frequency of Leak Occurence and Emission Factors for Natural Gas Factors for Natural Gas Liquid Plants", EPA DCN 82-222-018-04-48, July 1982.  For oil service components, see page 3 of Attachment 1.</t>
  </si>
  <si>
    <t>(3)</t>
  </si>
  <si>
    <t>United States Environmental Protection Agency, Assessment of Atmospheric Emissions from Petroleum Refining, EPA-600/2-80-075a through -075d, U.S. Environmental Protection Agency, Research Triangle Park, NC, 1980.</t>
  </si>
  <si>
    <t>(4)</t>
  </si>
  <si>
    <t>Santa Barbara County APCD, "Modeling of Fugitive Hydrocarbon Emissions", Tecolote Research Inc., January 1986.  Assumes the facility is primarily a crude oil site with a significant portion of gas components.  For ROC/THC ratios for other facility types, please see page 63.</t>
  </si>
  <si>
    <t>(5)</t>
  </si>
  <si>
    <t xml:space="preserve">"lb/day-CLP" = pound of pollutant per day for each component CLP.  </t>
  </si>
  <si>
    <t>"THC" = total hydrocarbons (includes methane and ethane)</t>
  </si>
  <si>
    <t>"ROC" = reactive organic compounds (non-methane, non-ethane)</t>
  </si>
  <si>
    <t>(6)</t>
  </si>
  <si>
    <t>Oil service includes water, oil and gas emulsions.</t>
  </si>
  <si>
    <t>Fugitive Hydrocarbon Control Factors</t>
  </si>
  <si>
    <t>Description</t>
  </si>
  <si>
    <t>Notes</t>
  </si>
  <si>
    <t>Vapor Recovery</t>
  </si>
  <si>
    <t>Monthly Inspections</t>
  </si>
  <si>
    <t>LDAR 100 ppmv</t>
  </si>
  <si>
    <t>LDAR 500 ppmv</t>
  </si>
  <si>
    <t>Control Efficiency %</t>
  </si>
  <si>
    <r>
      <t>1</t>
    </r>
    <r>
      <rPr>
        <sz val="10"/>
        <rFont val="Times New Roman"/>
        <family val="1"/>
      </rPr>
      <t xml:space="preserve"> "Standard" valves and connections/flanges subject to R331 (1000 ppmv/quarterly inspection) = 80% control</t>
    </r>
  </si>
  <si>
    <r>
      <t>2</t>
    </r>
    <r>
      <rPr>
        <sz val="10"/>
        <rFont val="Times New Roman"/>
        <family val="1"/>
      </rPr>
      <t xml:space="preserve">  Bellows valves with 100% control have a minor leak threshold of any OVA reading above background.</t>
    </r>
  </si>
  <si>
    <r>
      <t>3</t>
    </r>
    <r>
      <rPr>
        <sz val="10"/>
        <rFont val="Times New Roman"/>
        <family val="1"/>
      </rPr>
      <t xml:space="preserve">  Categories A through E are defined by lower leak threshold limits and/or increased monitoring frequency of standard components.</t>
    </r>
  </si>
  <si>
    <r>
      <t>4</t>
    </r>
    <r>
      <rPr>
        <sz val="10"/>
        <rFont val="Times New Roman"/>
        <family val="1"/>
      </rPr>
      <t xml:space="preserve">  Categories F and G are BACT approved components that have been designed to perform at a lower leak threshold.</t>
    </r>
  </si>
  <si>
    <t xml:space="preserve"> PTO 3456</t>
  </si>
  <si>
    <t>P3456</t>
  </si>
  <si>
    <t>9.2.9a:</t>
  </si>
  <si>
    <t>Well 1</t>
  </si>
  <si>
    <t>Tank Battery</t>
  </si>
  <si>
    <t>WELL HEAD</t>
  </si>
  <si>
    <t>HEADER SYSTEM</t>
  </si>
  <si>
    <t>WASTEWATER TANK CC-4</t>
  </si>
  <si>
    <t>PRODUCTION SEPARATOR CC-3</t>
  </si>
  <si>
    <t>Bonnet</t>
  </si>
  <si>
    <t>Threaded Connection</t>
  </si>
  <si>
    <t>Rule 331 Comp Count Totals</t>
  </si>
  <si>
    <t>Rule 331 CompCount P3456</t>
  </si>
  <si>
    <t>Rule 331 CompCount P99892</t>
  </si>
  <si>
    <t>P&amp;P 061 CLP Count P3456</t>
  </si>
  <si>
    <t>P&amp;P 061 CLP Count P99892</t>
  </si>
  <si>
    <t>P&amp;P 061 CLP Count Totals</t>
  </si>
  <si>
    <t>Permit: PTO 3456</t>
  </si>
  <si>
    <t>4 This table does not include De Minimis components.  For emissions from those components, see the table in Sec. 9.2.6.</t>
  </si>
  <si>
    <t>Leak Detection Date</t>
  </si>
  <si>
    <t>P&amp;IDs/PFDs</t>
  </si>
  <si>
    <t>Include in this section adequate P&amp;IDs, PFDs, maps and/or drawings to allow straightforward location of and access to fugitive emissions components.</t>
  </si>
  <si>
    <t>9.2.2:</t>
  </si>
  <si>
    <t>This sheet summarizes all components shown in the table of Sec. 9.2.3; it excludes CARB/KVB components.  See Form 9.2.10 for CARB/KVB Method information.</t>
  </si>
  <si>
    <t>Note:</t>
  </si>
  <si>
    <t>This table based on component leak path counts shown in Table 1 of P&amp;P 6100.061.1998.  See that table for notes on Open Ended Lines.</t>
  </si>
  <si>
    <t>A component inventory list that clearly shows what components are exempt from what Rule 331 requirements (per Rule 331.B.3), and what component leak paths are exempt from what P&amp;P 6100.061 requirements (see Sec. I.3 of the P&amp;P), may be adequate.  Otherwise, a separate list of all such components and component leak paths is required.</t>
  </si>
  <si>
    <t>Attachment: 9.2.9a</t>
  </si>
  <si>
    <t>9.2.9b:</t>
  </si>
  <si>
    <t>9.2.9c:</t>
  </si>
  <si>
    <t>9.2.10:  Fugitive Emissions Calculations - CARB/KVB Method</t>
  </si>
  <si>
    <t>Leak Free SS&lt;=1/2"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</si>
</sst>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0.000"/>
    <numFmt numFmtId="165" formatCode="0.0000"/>
    <numFmt numFmtId="166" formatCode="0.0"/>
    <numFmt numFmtId="167" formatCode="[$-409]d\-mmm\-yy;@"/>
    <numFmt numFmtId="168" formatCode="[$-409]dd\-mmm\-yy;@"/>
    <numFmt numFmtId="169" formatCode="General_)"/>
    <numFmt numFmtId="170" formatCode="#,##0.000"/>
  </numFmts>
  <fonts count="36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sz val="11"/>
      <color theme="1"/>
      <name val="Times New Roman"/>
      <family val="1"/>
    </font>
    <font>
      <sz val="10"/>
      <color indexed="8"/>
      <name val="Times New Roman"/>
      <family val="1"/>
    </font>
    <font>
      <sz val="12"/>
      <name val="Helv"/>
    </font>
    <font>
      <sz val="11"/>
      <name val="CG Times (WN)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56"/>
      <name val="Times New Roman"/>
      <family val="1"/>
    </font>
    <font>
      <sz val="8"/>
      <name val="Times New Roman"/>
      <family val="1"/>
    </font>
    <font>
      <b/>
      <i/>
      <sz val="10"/>
      <name val="Times New Roman"/>
      <family val="1"/>
    </font>
    <font>
      <b/>
      <sz val="10"/>
      <color indexed="56"/>
      <name val="Times New Roman"/>
      <family val="1"/>
    </font>
    <font>
      <b/>
      <vertAlign val="superscript"/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vertAlign val="superscript"/>
      <sz val="10"/>
      <name val="Times New Roman"/>
      <family val="1"/>
    </font>
    <font>
      <u/>
      <sz val="9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</fills>
  <borders count="1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8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20" fillId="0" borderId="0"/>
    <xf numFmtId="0" fontId="4" fillId="0" borderId="0"/>
    <xf numFmtId="0" fontId="21" fillId="0" borderId="0"/>
    <xf numFmtId="0" fontId="4" fillId="0" borderId="0"/>
  </cellStyleXfs>
  <cellXfs count="619">
    <xf numFmtId="0" fontId="0" fillId="0" borderId="0" xfId="0"/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Border="1"/>
    <xf numFmtId="0" fontId="0" fillId="0" borderId="29" xfId="0" applyBorder="1"/>
    <xf numFmtId="0" fontId="0" fillId="0" borderId="30" xfId="0" applyBorder="1"/>
    <xf numFmtId="0" fontId="0" fillId="0" borderId="31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ont="1"/>
    <xf numFmtId="164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22" xfId="0" applyFill="1" applyBorder="1" applyAlignment="1">
      <alignment vertical="center" wrapText="1"/>
    </xf>
    <xf numFmtId="164" fontId="0" fillId="0" borderId="41" xfId="0" applyNumberFormat="1" applyBorder="1" applyAlignment="1">
      <alignment vertical="center" wrapText="1"/>
    </xf>
    <xf numFmtId="164" fontId="0" fillId="0" borderId="42" xfId="0" applyNumberFormat="1" applyBorder="1" applyAlignment="1">
      <alignment vertical="center" wrapText="1"/>
    </xf>
    <xf numFmtId="164" fontId="0" fillId="0" borderId="26" xfId="0" applyNumberFormat="1" applyBorder="1" applyAlignment="1">
      <alignment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7" fontId="0" fillId="0" borderId="42" xfId="0" applyNumberFormat="1" applyBorder="1" applyAlignment="1">
      <alignment vertical="center" wrapText="1"/>
    </xf>
    <xf numFmtId="164" fontId="0" fillId="0" borderId="43" xfId="0" applyNumberFormat="1" applyBorder="1" applyAlignment="1">
      <alignment vertical="center" wrapText="1"/>
    </xf>
    <xf numFmtId="164" fontId="0" fillId="0" borderId="33" xfId="0" applyNumberFormat="1" applyBorder="1" applyAlignment="1">
      <alignment vertical="center" wrapText="1"/>
    </xf>
    <xf numFmtId="164" fontId="0" fillId="0" borderId="19" xfId="0" applyNumberFormat="1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7" fontId="0" fillId="0" borderId="33" xfId="0" applyNumberFormat="1" applyBorder="1" applyAlignment="1">
      <alignment vertical="center" wrapText="1"/>
    </xf>
    <xf numFmtId="164" fontId="0" fillId="0" borderId="14" xfId="0" applyNumberFormat="1" applyBorder="1" applyAlignment="1">
      <alignment vertical="center" wrapText="1"/>
    </xf>
    <xf numFmtId="164" fontId="0" fillId="0" borderId="35" xfId="0" applyNumberFormat="1" applyBorder="1" applyAlignment="1">
      <alignment vertical="center" wrapText="1"/>
    </xf>
    <xf numFmtId="164" fontId="0" fillId="0" borderId="16" xfId="0" applyNumberFormat="1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7" fontId="0" fillId="0" borderId="35" xfId="0" applyNumberFormat="1" applyBorder="1" applyAlignment="1">
      <alignment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164" fontId="0" fillId="0" borderId="34" xfId="0" applyNumberFormat="1" applyFill="1" applyBorder="1" applyAlignment="1">
      <alignment vertical="center" wrapText="1"/>
    </xf>
    <xf numFmtId="164" fontId="0" fillId="0" borderId="22" xfId="0" applyNumberFormat="1" applyFill="1" applyBorder="1" applyAlignment="1">
      <alignment vertical="center" wrapText="1"/>
    </xf>
    <xf numFmtId="164" fontId="0" fillId="0" borderId="44" xfId="0" applyNumberFormat="1" applyBorder="1" applyAlignment="1">
      <alignment vertical="center" wrapText="1"/>
    </xf>
    <xf numFmtId="0" fontId="0" fillId="0" borderId="30" xfId="0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3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31" xfId="0" applyBorder="1" applyAlignment="1">
      <alignment horizontal="center" vertical="center" wrapText="1"/>
    </xf>
    <xf numFmtId="0" fontId="0" fillId="2" borderId="0" xfId="0" applyFill="1"/>
    <xf numFmtId="0" fontId="0" fillId="0" borderId="0" xfId="0" applyAlignment="1">
      <alignment vertical="top" wrapText="1"/>
    </xf>
    <xf numFmtId="0" fontId="0" fillId="2" borderId="18" xfId="0" applyFill="1" applyBorder="1" applyAlignment="1">
      <alignment vertical="center" wrapText="1"/>
    </xf>
    <xf numFmtId="0" fontId="0" fillId="2" borderId="19" xfId="0" applyFill="1" applyBorder="1" applyAlignment="1">
      <alignment horizontal="center" vertical="center" wrapText="1"/>
    </xf>
    <xf numFmtId="0" fontId="5" fillId="0" borderId="0" xfId="0" applyFont="1"/>
    <xf numFmtId="0" fontId="5" fillId="2" borderId="0" xfId="0" applyFont="1" applyFill="1"/>
    <xf numFmtId="0" fontId="0" fillId="0" borderId="0" xfId="0" applyAlignment="1">
      <alignment vertical="top"/>
    </xf>
    <xf numFmtId="0" fontId="0" fillId="0" borderId="0" xfId="0" applyFill="1" applyAlignment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4" xfId="0" applyBorder="1"/>
    <xf numFmtId="0" fontId="0" fillId="0" borderId="48" xfId="0" applyBorder="1" applyAlignment="1">
      <alignment horizontal="center" vertical="top" wrapText="1"/>
    </xf>
    <xf numFmtId="0" fontId="0" fillId="0" borderId="51" xfId="0" applyBorder="1"/>
    <xf numFmtId="0" fontId="0" fillId="0" borderId="53" xfId="0" applyFont="1" applyBorder="1"/>
    <xf numFmtId="0" fontId="0" fillId="0" borderId="39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8" xfId="0" applyBorder="1" applyAlignment="1">
      <alignment horizontal="center" vertical="top"/>
    </xf>
    <xf numFmtId="0" fontId="0" fillId="0" borderId="8" xfId="0" applyFill="1" applyBorder="1" applyAlignment="1">
      <alignment vertical="center" wrapText="1"/>
    </xf>
    <xf numFmtId="0" fontId="0" fillId="0" borderId="57" xfId="0" applyFill="1" applyBorder="1" applyAlignment="1">
      <alignment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64" fontId="0" fillId="0" borderId="12" xfId="0" applyNumberFormat="1" applyFill="1" applyBorder="1" applyAlignment="1">
      <alignment vertical="center" wrapText="1"/>
    </xf>
    <xf numFmtId="164" fontId="0" fillId="0" borderId="57" xfId="0" applyNumberFormat="1" applyFill="1" applyBorder="1" applyAlignment="1">
      <alignment vertical="center" wrapText="1"/>
    </xf>
    <xf numFmtId="164" fontId="0" fillId="0" borderId="24" xfId="0" applyNumberFormat="1" applyFill="1" applyBorder="1" applyAlignment="1">
      <alignment vertical="center" wrapText="1"/>
    </xf>
    <xf numFmtId="164" fontId="0" fillId="0" borderId="58" xfId="0" applyNumberFormat="1" applyFill="1" applyBorder="1" applyAlignment="1">
      <alignment vertical="center" wrapText="1"/>
    </xf>
    <xf numFmtId="0" fontId="0" fillId="0" borderId="60" xfId="0" applyBorder="1" applyAlignment="1">
      <alignment vertical="center" wrapText="1"/>
    </xf>
    <xf numFmtId="17" fontId="0" fillId="0" borderId="56" xfId="0" applyNumberFormat="1" applyBorder="1" applyAlignment="1">
      <alignment vertical="center" wrapText="1"/>
    </xf>
    <xf numFmtId="0" fontId="0" fillId="0" borderId="56" xfId="0" applyBorder="1" applyAlignment="1">
      <alignment horizontal="center" vertical="center" wrapText="1"/>
    </xf>
    <xf numFmtId="164" fontId="0" fillId="0" borderId="56" xfId="0" applyNumberFormat="1" applyBorder="1" applyAlignment="1">
      <alignment vertical="center" wrapText="1"/>
    </xf>
    <xf numFmtId="164" fontId="0" fillId="0" borderId="39" xfId="0" applyNumberFormat="1" applyBorder="1" applyAlignment="1">
      <alignment vertical="center" wrapText="1"/>
    </xf>
    <xf numFmtId="164" fontId="0" fillId="0" borderId="37" xfId="0" applyNumberFormat="1" applyBorder="1" applyAlignment="1">
      <alignment vertical="center" wrapText="1"/>
    </xf>
    <xf numFmtId="0" fontId="0" fillId="2" borderId="0" xfId="0" applyFill="1" applyAlignment="1">
      <alignment vertical="center"/>
    </xf>
    <xf numFmtId="0" fontId="0" fillId="0" borderId="47" xfId="0" applyBorder="1" applyAlignment="1">
      <alignment horizontal="center"/>
    </xf>
    <xf numFmtId="0" fontId="0" fillId="0" borderId="52" xfId="0" applyFont="1" applyBorder="1"/>
    <xf numFmtId="0" fontId="0" fillId="0" borderId="47" xfId="0" applyBorder="1" applyAlignment="1">
      <alignment horizontal="center" vertical="top"/>
    </xf>
    <xf numFmtId="0" fontId="0" fillId="0" borderId="47" xfId="0" applyBorder="1" applyAlignment="1">
      <alignment vertical="top"/>
    </xf>
    <xf numFmtId="0" fontId="0" fillId="0" borderId="49" xfId="0" applyBorder="1" applyAlignment="1">
      <alignment vertical="top"/>
    </xf>
    <xf numFmtId="0" fontId="0" fillId="0" borderId="26" xfId="0" applyFont="1" applyFill="1" applyBorder="1"/>
    <xf numFmtId="0" fontId="0" fillId="0" borderId="16" xfId="0" applyFont="1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 vertical="top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26" xfId="0" applyFont="1" applyBorder="1"/>
    <xf numFmtId="0" fontId="0" fillId="0" borderId="12" xfId="0" applyBorder="1" applyAlignment="1">
      <alignment horizontal="center" vertical="top" wrapText="1"/>
    </xf>
    <xf numFmtId="0" fontId="0" fillId="0" borderId="13" xfId="0" applyBorder="1"/>
    <xf numFmtId="0" fontId="0" fillId="0" borderId="19" xfId="0" applyFont="1" applyBorder="1" applyAlignment="1">
      <alignment horizontal="center"/>
    </xf>
    <xf numFmtId="0" fontId="0" fillId="0" borderId="12" xfId="0" applyFill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2" borderId="0" xfId="0" applyFill="1" applyAlignment="1">
      <alignment horizontal="left"/>
    </xf>
    <xf numFmtId="0" fontId="0" fillId="2" borderId="51" xfId="0" applyFill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1" xfId="0" applyBorder="1"/>
    <xf numFmtId="0" fontId="0" fillId="0" borderId="10" xfId="0" applyBorder="1"/>
    <xf numFmtId="0" fontId="0" fillId="0" borderId="30" xfId="0" applyFill="1" applyBorder="1" applyAlignment="1">
      <alignment horizontal="left"/>
    </xf>
    <xf numFmtId="0" fontId="0" fillId="0" borderId="38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6" fillId="0" borderId="31" xfId="0" applyFont="1" applyFill="1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0" xfId="0" applyFill="1"/>
    <xf numFmtId="0" fontId="0" fillId="0" borderId="21" xfId="0" applyBorder="1" applyAlignment="1">
      <alignment horizontal="right"/>
    </xf>
    <xf numFmtId="15" fontId="0" fillId="2" borderId="32" xfId="0" applyNumberForma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0" borderId="31" xfId="0" applyBorder="1" applyAlignment="1">
      <alignment vertical="center" wrapText="1"/>
    </xf>
    <xf numFmtId="0" fontId="0" fillId="0" borderId="32" xfId="0" applyBorder="1"/>
    <xf numFmtId="0" fontId="0" fillId="2" borderId="20" xfId="0" applyFill="1" applyBorder="1"/>
    <xf numFmtId="0" fontId="0" fillId="2" borderId="23" xfId="0" applyFill="1" applyBorder="1"/>
    <xf numFmtId="15" fontId="0" fillId="0" borderId="0" xfId="0" applyNumberFormat="1"/>
    <xf numFmtId="0" fontId="4" fillId="0" borderId="0" xfId="1" applyFont="1" applyProtection="1"/>
    <xf numFmtId="0" fontId="7" fillId="0" borderId="0" xfId="1" applyFont="1" applyAlignment="1" applyProtection="1">
      <alignment horizontal="centerContinuous"/>
    </xf>
    <xf numFmtId="0" fontId="4" fillId="0" borderId="0" xfId="1" applyAlignment="1" applyProtection="1">
      <alignment horizontal="centerContinuous"/>
    </xf>
    <xf numFmtId="0" fontId="4" fillId="0" borderId="0" xfId="1" applyFont="1" applyAlignment="1" applyProtection="1">
      <alignment horizontal="centerContinuous"/>
    </xf>
    <xf numFmtId="0" fontId="4" fillId="0" borderId="0" xfId="1" applyProtection="1"/>
    <xf numFmtId="0" fontId="8" fillId="0" borderId="0" xfId="1" applyFont="1" applyAlignment="1" applyProtection="1">
      <alignment horizontal="left"/>
    </xf>
    <xf numFmtId="0" fontId="9" fillId="0" borderId="0" xfId="1" quotePrefix="1" applyFont="1" applyAlignment="1" applyProtection="1">
      <alignment horizontal="centerContinuous"/>
    </xf>
    <xf numFmtId="0" fontId="8" fillId="0" borderId="0" xfId="1" applyFont="1" applyAlignment="1" applyProtection="1">
      <alignment horizontal="centerContinuous"/>
    </xf>
    <xf numFmtId="2" fontId="8" fillId="0" borderId="50" xfId="1" applyNumberFormat="1" applyFont="1" applyBorder="1" applyProtection="1"/>
    <xf numFmtId="2" fontId="4" fillId="0" borderId="51" xfId="1" applyNumberFormat="1" applyBorder="1" applyAlignment="1" applyProtection="1">
      <alignment horizontal="center"/>
    </xf>
    <xf numFmtId="2" fontId="4" fillId="0" borderId="38" xfId="1" applyNumberFormat="1" applyBorder="1" applyAlignment="1" applyProtection="1">
      <alignment horizontal="center"/>
    </xf>
    <xf numFmtId="0" fontId="9" fillId="0" borderId="0" xfId="1" quotePrefix="1" applyFont="1" applyAlignment="1" applyProtection="1">
      <alignment horizontal="center"/>
    </xf>
    <xf numFmtId="0" fontId="4" fillId="0" borderId="52" xfId="1" quotePrefix="1" applyBorder="1" applyAlignment="1" applyProtection="1">
      <alignment horizontal="left"/>
    </xf>
    <xf numFmtId="0" fontId="10" fillId="0" borderId="53" xfId="1" applyFont="1" applyBorder="1" applyProtection="1"/>
    <xf numFmtId="0" fontId="4" fillId="0" borderId="54" xfId="1" applyBorder="1" applyProtection="1"/>
    <xf numFmtId="0" fontId="4" fillId="2" borderId="47" xfId="1" quotePrefix="1" applyFont="1" applyFill="1" applyBorder="1" applyAlignment="1" applyProtection="1">
      <alignment horizontal="left"/>
    </xf>
    <xf numFmtId="2" fontId="4" fillId="0" borderId="48" xfId="1" applyNumberFormat="1" applyBorder="1" applyAlignment="1" applyProtection="1">
      <alignment horizontal="center"/>
    </xf>
    <xf numFmtId="0" fontId="11" fillId="0" borderId="0" xfId="1" applyFont="1" applyProtection="1"/>
    <xf numFmtId="0" fontId="11" fillId="0" borderId="0" xfId="1" quotePrefix="1" applyFont="1" applyAlignment="1" applyProtection="1">
      <alignment horizontal="left"/>
    </xf>
    <xf numFmtId="0" fontId="12" fillId="0" borderId="0" xfId="1" applyFont="1" applyAlignment="1" applyProtection="1">
      <alignment horizontal="center"/>
    </xf>
    <xf numFmtId="15" fontId="11" fillId="0" borderId="0" xfId="1" applyNumberFormat="1" applyFont="1" applyAlignment="1" applyProtection="1">
      <alignment horizontal="left"/>
    </xf>
    <xf numFmtId="0" fontId="4" fillId="0" borderId="52" xfId="1" applyBorder="1" applyProtection="1"/>
    <xf numFmtId="0" fontId="12" fillId="0" borderId="49" xfId="1" applyFont="1" applyBorder="1" applyAlignment="1" applyProtection="1">
      <alignment horizontal="center"/>
    </xf>
    <xf numFmtId="0" fontId="4" fillId="0" borderId="0" xfId="1" quotePrefix="1" applyBorder="1" applyAlignment="1" applyProtection="1">
      <alignment horizontal="left"/>
    </xf>
    <xf numFmtId="15" fontId="4" fillId="0" borderId="0" xfId="1" applyNumberFormat="1" applyBorder="1" applyAlignment="1" applyProtection="1">
      <alignment horizontal="left"/>
    </xf>
    <xf numFmtId="0" fontId="4" fillId="0" borderId="0" xfId="1" applyBorder="1" applyProtection="1"/>
    <xf numFmtId="0" fontId="4" fillId="0" borderId="0" xfId="1" quotePrefix="1" applyAlignment="1" applyProtection="1">
      <alignment horizontal="left"/>
    </xf>
    <xf numFmtId="0" fontId="4" fillId="0" borderId="19" xfId="1" applyBorder="1" applyProtection="1"/>
    <xf numFmtId="0" fontId="4" fillId="0" borderId="16" xfId="1" applyBorder="1" applyProtection="1"/>
    <xf numFmtId="0" fontId="4" fillId="0" borderId="16" xfId="1" quotePrefix="1" applyBorder="1" applyAlignment="1" applyProtection="1">
      <alignment horizontal="left"/>
    </xf>
    <xf numFmtId="0" fontId="4" fillId="0" borderId="0" xfId="1" applyAlignment="1" applyProtection="1">
      <alignment horizontal="left"/>
    </xf>
    <xf numFmtId="165" fontId="4" fillId="0" borderId="16" xfId="1" applyNumberFormat="1" applyBorder="1" applyAlignment="1" applyProtection="1">
      <alignment horizontal="center"/>
    </xf>
    <xf numFmtId="0" fontId="4" fillId="0" borderId="0" xfId="1" applyAlignment="1" applyProtection="1">
      <alignment horizontal="center"/>
    </xf>
    <xf numFmtId="0" fontId="8" fillId="0" borderId="0" xfId="1" applyFont="1" applyProtection="1"/>
    <xf numFmtId="0" fontId="8" fillId="0" borderId="0" xfId="1" applyFont="1" applyAlignment="1" applyProtection="1">
      <alignment horizontal="center"/>
    </xf>
    <xf numFmtId="0" fontId="8" fillId="0" borderId="0" xfId="1" applyFont="1" applyBorder="1" applyAlignment="1" applyProtection="1">
      <alignment horizontal="center"/>
    </xf>
    <xf numFmtId="0" fontId="8" fillId="0" borderId="0" xfId="1" quotePrefix="1" applyFont="1" applyAlignment="1" applyProtection="1">
      <alignment horizontal="left"/>
    </xf>
    <xf numFmtId="0" fontId="8" fillId="0" borderId="0" xfId="1" quotePrefix="1" applyFont="1" applyAlignment="1" applyProtection="1">
      <alignment horizontal="center"/>
    </xf>
    <xf numFmtId="0" fontId="8" fillId="0" borderId="19" xfId="1" applyFont="1" applyBorder="1" applyAlignment="1" applyProtection="1">
      <alignment horizontal="center"/>
    </xf>
    <xf numFmtId="165" fontId="8" fillId="0" borderId="19" xfId="1" applyNumberFormat="1" applyFont="1" applyBorder="1" applyAlignment="1" applyProtection="1">
      <alignment horizontal="center"/>
    </xf>
    <xf numFmtId="0" fontId="13" fillId="0" borderId="0" xfId="1" quotePrefix="1" applyFont="1" applyAlignment="1" applyProtection="1">
      <alignment horizontal="left"/>
    </xf>
    <xf numFmtId="0" fontId="14" fillId="0" borderId="0" xfId="1" applyFont="1" applyAlignment="1" applyProtection="1">
      <alignment horizontal="centerContinuous"/>
    </xf>
    <xf numFmtId="0" fontId="4" fillId="0" borderId="71" xfId="1" applyBorder="1" applyProtection="1"/>
    <xf numFmtId="0" fontId="4" fillId="0" borderId="71" xfId="1" applyBorder="1" applyAlignment="1" applyProtection="1">
      <alignment horizontal="center"/>
    </xf>
    <xf numFmtId="0" fontId="4" fillId="0" borderId="71" xfId="1" quotePrefix="1" applyBorder="1" applyAlignment="1" applyProtection="1">
      <alignment horizontal="center"/>
    </xf>
    <xf numFmtId="0" fontId="4" fillId="0" borderId="0" xfId="1" quotePrefix="1" applyBorder="1" applyAlignment="1" applyProtection="1">
      <alignment horizontal="center"/>
    </xf>
    <xf numFmtId="0" fontId="4" fillId="0" borderId="42" xfId="1" applyBorder="1" applyProtection="1"/>
    <xf numFmtId="0" fontId="4" fillId="0" borderId="53" xfId="1" applyBorder="1" applyProtection="1"/>
    <xf numFmtId="2" fontId="4" fillId="0" borderId="53" xfId="1" applyNumberFormat="1" applyBorder="1" applyAlignment="1" applyProtection="1">
      <alignment horizontal="center"/>
    </xf>
    <xf numFmtId="2" fontId="4" fillId="0" borderId="72" xfId="1" applyNumberFormat="1" applyBorder="1" applyAlignment="1" applyProtection="1">
      <alignment horizontal="center"/>
    </xf>
    <xf numFmtId="2" fontId="4" fillId="0" borderId="0" xfId="1" applyNumberFormat="1" applyBorder="1" applyAlignment="1" applyProtection="1">
      <alignment horizontal="center"/>
    </xf>
    <xf numFmtId="0" fontId="4" fillId="0" borderId="57" xfId="1" quotePrefix="1" applyBorder="1" applyAlignment="1" applyProtection="1">
      <alignment horizontal="left"/>
    </xf>
    <xf numFmtId="2" fontId="4" fillId="0" borderId="73" xfId="1" applyNumberFormat="1" applyBorder="1" applyAlignment="1" applyProtection="1">
      <alignment horizontal="center"/>
    </xf>
    <xf numFmtId="0" fontId="4" fillId="0" borderId="35" xfId="1" applyFont="1" applyBorder="1" applyProtection="1"/>
    <xf numFmtId="2" fontId="4" fillId="0" borderId="71" xfId="1" applyNumberFormat="1" applyBorder="1" applyAlignment="1" applyProtection="1">
      <alignment horizontal="center"/>
    </xf>
    <xf numFmtId="2" fontId="4" fillId="0" borderId="74" xfId="1" applyNumberFormat="1" applyBorder="1" applyAlignment="1" applyProtection="1">
      <alignment horizontal="center"/>
    </xf>
    <xf numFmtId="2" fontId="8" fillId="0" borderId="0" xfId="1" applyNumberFormat="1" applyFont="1" applyAlignment="1" applyProtection="1">
      <alignment horizontal="center"/>
    </xf>
    <xf numFmtId="0" fontId="4" fillId="0" borderId="0" xfId="1" quotePrefix="1" applyFont="1" applyAlignment="1" applyProtection="1">
      <alignment horizontal="left"/>
    </xf>
    <xf numFmtId="0" fontId="14" fillId="0" borderId="0" xfId="1" applyFont="1" applyProtection="1"/>
    <xf numFmtId="0" fontId="4" fillId="0" borderId="3" xfId="1" applyBorder="1" applyAlignment="1" applyProtection="1">
      <alignment horizontal="left"/>
    </xf>
    <xf numFmtId="165" fontId="4" fillId="0" borderId="0" xfId="1" applyNumberFormat="1" applyAlignment="1" applyProtection="1">
      <alignment horizontal="left"/>
    </xf>
    <xf numFmtId="0" fontId="14" fillId="0" borderId="0" xfId="1" quotePrefix="1" applyFont="1" applyAlignment="1" applyProtection="1">
      <alignment horizontal="left"/>
    </xf>
    <xf numFmtId="165" fontId="4" fillId="0" borderId="0" xfId="1" applyNumberFormat="1" applyAlignment="1" applyProtection="1">
      <alignment horizontal="center"/>
    </xf>
    <xf numFmtId="0" fontId="4" fillId="0" borderId="0" xfId="1" quotePrefix="1" applyAlignment="1" applyProtection="1">
      <alignment horizontal="center"/>
    </xf>
    <xf numFmtId="0" fontId="4" fillId="0" borderId="3" xfId="1" applyBorder="1" applyProtection="1"/>
    <xf numFmtId="0" fontId="4" fillId="0" borderId="3" xfId="1" applyBorder="1" applyAlignment="1" applyProtection="1">
      <alignment horizontal="center"/>
    </xf>
    <xf numFmtId="4" fontId="4" fillId="0" borderId="0" xfId="1" applyNumberFormat="1" applyBorder="1" applyAlignment="1" applyProtection="1">
      <alignment horizontal="center"/>
    </xf>
    <xf numFmtId="2" fontId="4" fillId="0" borderId="2" xfId="1" applyNumberFormat="1" applyBorder="1" applyAlignment="1" applyProtection="1">
      <alignment horizontal="center"/>
    </xf>
    <xf numFmtId="2" fontId="4" fillId="0" borderId="75" xfId="1" applyNumberFormat="1" applyBorder="1" applyAlignment="1" applyProtection="1">
      <alignment horizontal="center"/>
    </xf>
    <xf numFmtId="2" fontId="4" fillId="0" borderId="3" xfId="1" applyNumberFormat="1" applyBorder="1" applyAlignment="1" applyProtection="1">
      <alignment horizontal="center"/>
    </xf>
    <xf numFmtId="2" fontId="4" fillId="0" borderId="4" xfId="1" applyNumberFormat="1" applyBorder="1" applyAlignment="1" applyProtection="1">
      <alignment horizontal="center"/>
    </xf>
    <xf numFmtId="0" fontId="4" fillId="0" borderId="0" xfId="1" applyBorder="1" applyAlignment="1" applyProtection="1">
      <alignment horizontal="left"/>
    </xf>
    <xf numFmtId="0" fontId="4" fillId="0" borderId="0" xfId="1" applyBorder="1" applyAlignment="1" applyProtection="1">
      <alignment horizontal="center"/>
    </xf>
    <xf numFmtId="9" fontId="0" fillId="0" borderId="0" xfId="3" applyFont="1" applyAlignment="1" applyProtection="1">
      <alignment horizontal="left"/>
    </xf>
    <xf numFmtId="2" fontId="4" fillId="0" borderId="0" xfId="1" applyNumberFormat="1" applyAlignment="1" applyProtection="1">
      <alignment horizontal="center"/>
    </xf>
    <xf numFmtId="1" fontId="4" fillId="0" borderId="0" xfId="1" applyNumberFormat="1" applyAlignment="1" applyProtection="1">
      <alignment horizontal="right"/>
    </xf>
    <xf numFmtId="0" fontId="8" fillId="0" borderId="0" xfId="1" quotePrefix="1" applyFont="1" applyAlignment="1" applyProtection="1">
      <alignment horizontal="centerContinuous"/>
    </xf>
    <xf numFmtId="0" fontId="4" fillId="0" borderId="0" xfId="1" quotePrefix="1" applyAlignment="1" applyProtection="1">
      <alignment horizontal="right"/>
    </xf>
    <xf numFmtId="0" fontId="4" fillId="0" borderId="3" xfId="1" applyBorder="1" applyAlignment="1" applyProtection="1">
      <alignment horizontal="center" wrapText="1"/>
    </xf>
    <xf numFmtId="0" fontId="4" fillId="0" borderId="3" xfId="1" applyBorder="1" applyAlignment="1" applyProtection="1">
      <alignment horizontal="right"/>
    </xf>
    <xf numFmtId="166" fontId="4" fillId="0" borderId="0" xfId="1" applyNumberFormat="1" applyAlignment="1" applyProtection="1">
      <alignment horizontal="center"/>
    </xf>
    <xf numFmtId="0" fontId="4" fillId="0" borderId="73" xfId="1" applyBorder="1" applyAlignment="1" applyProtection="1">
      <alignment horizontal="right"/>
    </xf>
    <xf numFmtId="0" fontId="4" fillId="0" borderId="73" xfId="1" applyBorder="1" applyProtection="1"/>
    <xf numFmtId="166" fontId="4" fillId="0" borderId="3" xfId="1" applyNumberFormat="1" applyBorder="1" applyAlignment="1" applyProtection="1">
      <alignment horizontal="center" wrapText="1"/>
    </xf>
    <xf numFmtId="0" fontId="4" fillId="0" borderId="76" xfId="1" applyBorder="1" applyProtection="1"/>
    <xf numFmtId="166" fontId="4" fillId="0" borderId="0" xfId="1" applyNumberFormat="1" applyProtection="1"/>
    <xf numFmtId="0" fontId="4" fillId="0" borderId="0" xfId="1"/>
    <xf numFmtId="0" fontId="0" fillId="0" borderId="54" xfId="0" applyFont="1" applyBorder="1" applyAlignment="1">
      <alignment horizontal="center" vertical="top" wrapText="1"/>
    </xf>
    <xf numFmtId="0" fontId="0" fillId="0" borderId="55" xfId="0" applyFont="1" applyBorder="1" applyAlignment="1">
      <alignment horizontal="center" vertical="top" wrapText="1"/>
    </xf>
    <xf numFmtId="0" fontId="10" fillId="2" borderId="0" xfId="1" applyFont="1" applyFill="1" applyBorder="1" applyProtection="1"/>
    <xf numFmtId="167" fontId="0" fillId="2" borderId="0" xfId="0" applyNumberFormat="1" applyFill="1" applyAlignment="1">
      <alignment horizontal="left"/>
    </xf>
    <xf numFmtId="167" fontId="0" fillId="2" borderId="19" xfId="0" applyNumberFormat="1" applyFill="1" applyBorder="1"/>
    <xf numFmtId="167" fontId="0" fillId="2" borderId="22" xfId="0" applyNumberFormat="1" applyFill="1" applyBorder="1"/>
    <xf numFmtId="167" fontId="0" fillId="2" borderId="0" xfId="0" applyNumberFormat="1" applyFill="1"/>
    <xf numFmtId="0" fontId="18" fillId="0" borderId="31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wrapText="1"/>
    </xf>
    <xf numFmtId="166" fontId="18" fillId="2" borderId="19" xfId="0" applyNumberFormat="1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18" fillId="0" borderId="0" xfId="0" applyFont="1" applyAlignment="1"/>
    <xf numFmtId="0" fontId="18" fillId="0" borderId="0" xfId="0" applyFont="1" applyFill="1" applyAlignment="1"/>
    <xf numFmtId="0" fontId="18" fillId="0" borderId="0" xfId="0" applyFont="1" applyAlignment="1">
      <alignment horizontal="left"/>
    </xf>
    <xf numFmtId="0" fontId="18" fillId="3" borderId="77" xfId="0" applyFont="1" applyFill="1" applyBorder="1" applyAlignment="1"/>
    <xf numFmtId="0" fontId="18" fillId="3" borderId="78" xfId="0" applyFont="1" applyFill="1" applyBorder="1" applyAlignment="1"/>
    <xf numFmtId="0" fontId="18" fillId="2" borderId="78" xfId="0" applyFont="1" applyFill="1" applyBorder="1" applyAlignment="1"/>
    <xf numFmtId="0" fontId="18" fillId="3" borderId="78" xfId="0" applyFont="1" applyFill="1" applyBorder="1" applyAlignment="1">
      <alignment horizontal="right"/>
    </xf>
    <xf numFmtId="168" fontId="18" fillId="2" borderId="78" xfId="0" applyNumberFormat="1" applyFont="1" applyFill="1" applyBorder="1" applyAlignment="1">
      <alignment horizontal="left"/>
    </xf>
    <xf numFmtId="0" fontId="18" fillId="3" borderId="79" xfId="0" applyFont="1" applyFill="1" applyBorder="1" applyAlignment="1"/>
    <xf numFmtId="0" fontId="18" fillId="3" borderId="80" xfId="0" applyFont="1" applyFill="1" applyBorder="1" applyAlignment="1">
      <alignment horizontal="right"/>
    </xf>
    <xf numFmtId="0" fontId="18" fillId="4" borderId="30" xfId="0" applyFont="1" applyFill="1" applyBorder="1"/>
    <xf numFmtId="0" fontId="18" fillId="4" borderId="32" xfId="0" applyFont="1" applyFill="1" applyBorder="1" applyAlignment="1">
      <alignment horizontal="center"/>
    </xf>
    <xf numFmtId="0" fontId="18" fillId="4" borderId="82" xfId="0" applyFont="1" applyFill="1" applyBorder="1" applyAlignment="1"/>
    <xf numFmtId="0" fontId="18" fillId="4" borderId="83" xfId="0" applyFont="1" applyFill="1" applyBorder="1" applyAlignment="1"/>
    <xf numFmtId="0" fontId="18" fillId="4" borderId="84" xfId="0" applyFont="1" applyFill="1" applyBorder="1" applyAlignment="1"/>
    <xf numFmtId="0" fontId="18" fillId="4" borderId="85" xfId="0" applyFont="1" applyFill="1" applyBorder="1" applyAlignment="1"/>
    <xf numFmtId="0" fontId="18" fillId="4" borderId="86" xfId="0" applyFont="1" applyFill="1" applyBorder="1" applyAlignment="1"/>
    <xf numFmtId="0" fontId="18" fillId="4" borderId="87" xfId="0" applyFont="1" applyFill="1" applyBorder="1" applyAlignment="1"/>
    <xf numFmtId="0" fontId="18" fillId="0" borderId="83" xfId="0" applyFont="1" applyFill="1" applyBorder="1" applyAlignment="1"/>
    <xf numFmtId="0" fontId="18" fillId="0" borderId="88" xfId="0" applyFont="1" applyBorder="1"/>
    <xf numFmtId="0" fontId="18" fillId="0" borderId="89" xfId="0" applyFont="1" applyBorder="1" applyAlignment="1"/>
    <xf numFmtId="0" fontId="18" fillId="0" borderId="89" xfId="0" applyFont="1" applyFill="1" applyBorder="1" applyAlignment="1">
      <alignment horizontal="center"/>
    </xf>
    <xf numFmtId="0" fontId="18" fillId="0" borderId="89" xfId="0" applyFont="1" applyBorder="1" applyAlignment="1">
      <alignment horizontal="center"/>
    </xf>
    <xf numFmtId="0" fontId="18" fillId="0" borderId="91" xfId="0" applyFont="1" applyFill="1" applyBorder="1" applyAlignment="1">
      <alignment horizontal="center"/>
    </xf>
    <xf numFmtId="0" fontId="18" fillId="0" borderId="92" xfId="0" applyFont="1" applyBorder="1" applyAlignment="1"/>
    <xf numFmtId="0" fontId="18" fillId="0" borderId="89" xfId="0" applyFont="1" applyFill="1" applyBorder="1" applyAlignment="1"/>
    <xf numFmtId="0" fontId="18" fillId="0" borderId="91" xfId="0" applyFont="1" applyFill="1" applyBorder="1" applyAlignment="1"/>
    <xf numFmtId="0" fontId="18" fillId="0" borderId="93" xfId="0" applyFont="1" applyBorder="1"/>
    <xf numFmtId="0" fontId="18" fillId="0" borderId="46" xfId="0" applyFont="1" applyBorder="1" applyAlignment="1"/>
    <xf numFmtId="0" fontId="18" fillId="0" borderId="46" xfId="0" applyFont="1" applyFill="1" applyBorder="1" applyAlignment="1">
      <alignment horizontal="center"/>
    </xf>
    <xf numFmtId="0" fontId="18" fillId="0" borderId="94" xfId="0" applyFont="1" applyFill="1" applyBorder="1" applyAlignment="1"/>
    <xf numFmtId="0" fontId="18" fillId="0" borderId="46" xfId="0" applyFont="1" applyBorder="1" applyAlignment="1">
      <alignment horizontal="center"/>
    </xf>
    <xf numFmtId="0" fontId="18" fillId="0" borderId="96" xfId="0" applyFont="1" applyFill="1" applyBorder="1" applyAlignment="1">
      <alignment horizontal="center"/>
    </xf>
    <xf numFmtId="0" fontId="18" fillId="0" borderId="97" xfId="0" applyFont="1" applyBorder="1" applyAlignment="1"/>
    <xf numFmtId="0" fontId="18" fillId="0" borderId="46" xfId="0" applyFont="1" applyFill="1" applyBorder="1" applyAlignment="1"/>
    <xf numFmtId="0" fontId="18" fillId="0" borderId="96" xfId="0" applyFont="1" applyFill="1" applyBorder="1" applyAlignment="1"/>
    <xf numFmtId="166" fontId="18" fillId="0" borderId="93" xfId="0" applyNumberFormat="1" applyFont="1" applyBorder="1"/>
    <xf numFmtId="166" fontId="18" fillId="0" borderId="98" xfId="0" applyNumberFormat="1" applyFont="1" applyBorder="1"/>
    <xf numFmtId="0" fontId="18" fillId="0" borderId="99" xfId="0" applyFont="1" applyBorder="1" applyAlignment="1">
      <alignment wrapText="1"/>
    </xf>
    <xf numFmtId="0" fontId="18" fillId="0" borderId="100" xfId="0" applyFont="1" applyFill="1" applyBorder="1" applyAlignment="1">
      <alignment horizontal="center"/>
    </xf>
    <xf numFmtId="0" fontId="18" fillId="0" borderId="101" xfId="0" applyFont="1" applyBorder="1" applyAlignment="1"/>
    <xf numFmtId="0" fontId="18" fillId="0" borderId="102" xfId="0" applyFont="1" applyFill="1" applyBorder="1" applyAlignment="1">
      <alignment horizontal="center" wrapText="1"/>
    </xf>
    <xf numFmtId="0" fontId="18" fillId="0" borderId="99" xfId="0" applyFont="1" applyBorder="1" applyAlignment="1">
      <alignment horizontal="center" wrapText="1"/>
    </xf>
    <xf numFmtId="0" fontId="18" fillId="0" borderId="103" xfId="0" applyFont="1" applyBorder="1" applyAlignment="1">
      <alignment horizontal="center" wrapText="1"/>
    </xf>
    <xf numFmtId="0" fontId="18" fillId="0" borderId="104" xfId="0" applyFont="1" applyBorder="1" applyAlignment="1">
      <alignment wrapText="1"/>
    </xf>
    <xf numFmtId="0" fontId="18" fillId="0" borderId="99" xfId="0" applyFont="1" applyFill="1" applyBorder="1" applyAlignment="1">
      <alignment wrapText="1"/>
    </xf>
    <xf numFmtId="0" fontId="19" fillId="0" borderId="105" xfId="0" applyFont="1" applyBorder="1" applyAlignment="1">
      <alignment wrapText="1"/>
    </xf>
    <xf numFmtId="0" fontId="18" fillId="0" borderId="85" xfId="0" applyFont="1" applyFill="1" applyBorder="1" applyAlignment="1"/>
    <xf numFmtId="0" fontId="18" fillId="0" borderId="84" xfId="0" applyFont="1" applyFill="1" applyBorder="1" applyAlignment="1"/>
    <xf numFmtId="0" fontId="18" fillId="0" borderId="82" xfId="0" applyFont="1" applyFill="1" applyBorder="1" applyAlignment="1">
      <alignment horizontal="center"/>
    </xf>
    <xf numFmtId="0" fontId="18" fillId="0" borderId="86" xfId="0" applyFont="1" applyFill="1" applyBorder="1" applyAlignment="1"/>
    <xf numFmtId="0" fontId="18" fillId="0" borderId="87" xfId="0" applyFont="1" applyFill="1" applyBorder="1" applyAlignment="1"/>
    <xf numFmtId="0" fontId="0" fillId="0" borderId="0" xfId="0" applyFill="1" applyAlignment="1">
      <alignment vertical="center"/>
    </xf>
    <xf numFmtId="0" fontId="18" fillId="0" borderId="0" xfId="0" applyFont="1" applyAlignment="1">
      <alignment horizontal="center"/>
    </xf>
    <xf numFmtId="0" fontId="0" fillId="0" borderId="55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30" xfId="0" applyBorder="1" applyAlignment="1">
      <alignment wrapText="1"/>
    </xf>
    <xf numFmtId="0" fontId="0" fillId="0" borderId="32" xfId="0" applyBorder="1" applyAlignment="1">
      <alignment horizontal="center"/>
    </xf>
    <xf numFmtId="167" fontId="0" fillId="0" borderId="0" xfId="0" applyNumberFormat="1" applyFill="1" applyAlignment="1"/>
    <xf numFmtId="0" fontId="10" fillId="0" borderId="0" xfId="1" applyFont="1" applyBorder="1" applyAlignment="1" applyProtection="1">
      <alignment horizontal="right"/>
    </xf>
    <xf numFmtId="0" fontId="10" fillId="0" borderId="0" xfId="1" applyFont="1" applyFill="1" applyBorder="1" applyAlignment="1" applyProtection="1">
      <alignment horizontal="right"/>
    </xf>
    <xf numFmtId="0" fontId="4" fillId="2" borderId="48" xfId="1" applyFill="1" applyBorder="1" applyAlignment="1" applyProtection="1">
      <alignment horizontal="left"/>
    </xf>
    <xf numFmtId="0" fontId="4" fillId="2" borderId="19" xfId="1" applyFill="1" applyBorder="1" applyAlignment="1" applyProtection="1">
      <alignment horizontal="center"/>
      <protection locked="0"/>
    </xf>
    <xf numFmtId="0" fontId="4" fillId="2" borderId="16" xfId="1" applyFill="1" applyBorder="1" applyAlignment="1" applyProtection="1">
      <alignment horizontal="center"/>
      <protection locked="0"/>
    </xf>
    <xf numFmtId="0" fontId="4" fillId="2" borderId="67" xfId="1" quotePrefix="1" applyFont="1" applyFill="1" applyBorder="1" applyAlignment="1" applyProtection="1">
      <alignment horizontal="left"/>
      <protection locked="0"/>
    </xf>
    <xf numFmtId="0" fontId="4" fillId="2" borderId="2" xfId="1" applyFill="1" applyBorder="1" applyAlignment="1" applyProtection="1">
      <alignment horizontal="center"/>
      <protection locked="0"/>
    </xf>
    <xf numFmtId="3" fontId="4" fillId="2" borderId="2" xfId="1" applyNumberFormat="1" applyFill="1" applyBorder="1" applyAlignment="1" applyProtection="1">
      <alignment horizontal="center"/>
      <protection locked="0"/>
    </xf>
    <xf numFmtId="0" fontId="4" fillId="2" borderId="47" xfId="1" quotePrefix="1" applyFill="1" applyBorder="1" applyAlignment="1" applyProtection="1">
      <alignment horizontal="left"/>
      <protection locked="0"/>
    </xf>
    <xf numFmtId="0" fontId="4" fillId="2" borderId="0" xfId="1" applyFill="1" applyBorder="1" applyAlignment="1" applyProtection="1">
      <alignment horizontal="center"/>
      <protection locked="0"/>
    </xf>
    <xf numFmtId="3" fontId="4" fillId="2" borderId="0" xfId="1" applyNumberFormat="1" applyFill="1" applyBorder="1" applyAlignment="1" applyProtection="1">
      <alignment horizontal="center"/>
      <protection locked="0"/>
    </xf>
    <xf numFmtId="0" fontId="4" fillId="2" borderId="67" xfId="1" quotePrefix="1" applyFill="1" applyBorder="1" applyAlignment="1" applyProtection="1">
      <alignment horizontal="left"/>
      <protection locked="0"/>
    </xf>
    <xf numFmtId="2" fontId="4" fillId="2" borderId="2" xfId="1" applyNumberFormat="1" applyFill="1" applyBorder="1" applyAlignment="1" applyProtection="1">
      <alignment horizontal="center"/>
      <protection locked="0"/>
    </xf>
    <xf numFmtId="0" fontId="4" fillId="2" borderId="57" xfId="1" applyFill="1" applyBorder="1" applyProtection="1">
      <protection locked="0"/>
    </xf>
    <xf numFmtId="0" fontId="4" fillId="2" borderId="0" xfId="1" applyFill="1" applyAlignment="1" applyProtection="1">
      <alignment horizontal="center"/>
      <protection locked="0"/>
    </xf>
    <xf numFmtId="166" fontId="4" fillId="2" borderId="0" xfId="1" applyNumberFormat="1" applyFill="1" applyAlignment="1" applyProtection="1">
      <alignment horizontal="center"/>
    </xf>
    <xf numFmtId="2" fontId="4" fillId="2" borderId="0" xfId="1" applyNumberFormat="1" applyFill="1" applyAlignment="1" applyProtection="1">
      <alignment horizontal="center"/>
    </xf>
    <xf numFmtId="0" fontId="4" fillId="2" borderId="45" xfId="1" applyFill="1" applyBorder="1" applyProtection="1">
      <protection locked="0"/>
    </xf>
    <xf numFmtId="0" fontId="4" fillId="2" borderId="3" xfId="1" applyFill="1" applyBorder="1" applyAlignment="1" applyProtection="1">
      <alignment horizontal="center"/>
      <protection locked="0"/>
    </xf>
    <xf numFmtId="166" fontId="4" fillId="2" borderId="3" xfId="1" applyNumberFormat="1" applyFill="1" applyBorder="1" applyAlignment="1" applyProtection="1">
      <alignment horizontal="center"/>
    </xf>
    <xf numFmtId="0" fontId="4" fillId="2" borderId="67" xfId="1" applyFill="1" applyBorder="1" applyProtection="1">
      <protection locked="0"/>
    </xf>
    <xf numFmtId="0" fontId="4" fillId="2" borderId="49" xfId="1" quotePrefix="1" applyFill="1" applyBorder="1" applyAlignment="1" applyProtection="1">
      <alignment horizontal="left"/>
      <protection locked="0"/>
    </xf>
    <xf numFmtId="2" fontId="4" fillId="2" borderId="0" xfId="1" applyNumberFormat="1" applyFill="1" applyBorder="1" applyAlignment="1" applyProtection="1">
      <alignment horizontal="center"/>
      <protection locked="0"/>
    </xf>
    <xf numFmtId="0" fontId="4" fillId="2" borderId="49" xfId="1" applyFill="1" applyBorder="1" applyProtection="1">
      <protection locked="0"/>
    </xf>
    <xf numFmtId="2" fontId="4" fillId="2" borderId="3" xfId="1" applyNumberFormat="1" applyFill="1" applyBorder="1" applyAlignment="1" applyProtection="1">
      <alignment horizontal="center"/>
      <protection locked="0"/>
    </xf>
    <xf numFmtId="3" fontId="4" fillId="2" borderId="3" xfId="1" applyNumberFormat="1" applyFill="1" applyBorder="1" applyAlignment="1" applyProtection="1">
      <alignment horizontal="center"/>
      <protection locked="0"/>
    </xf>
    <xf numFmtId="167" fontId="4" fillId="0" borderId="70" xfId="1" applyNumberFormat="1" applyFill="1" applyBorder="1" applyAlignment="1" applyProtection="1">
      <alignment horizontal="left"/>
    </xf>
    <xf numFmtId="0" fontId="11" fillId="0" borderId="0" xfId="1" applyFont="1" applyAlignment="1" applyProtection="1">
      <alignment horizontal="right"/>
    </xf>
    <xf numFmtId="0" fontId="11" fillId="0" borderId="0" xfId="1" quotePrefix="1" applyFont="1" applyAlignment="1" applyProtection="1">
      <alignment horizontal="center"/>
    </xf>
    <xf numFmtId="0" fontId="22" fillId="0" borderId="0" xfId="5" applyFont="1"/>
    <xf numFmtId="0" fontId="23" fillId="0" borderId="109" xfId="5" applyFont="1" applyBorder="1"/>
    <xf numFmtId="0" fontId="22" fillId="0" borderId="115" xfId="5" applyFont="1" applyBorder="1"/>
    <xf numFmtId="0" fontId="22" fillId="0" borderId="116" xfId="5" applyFont="1" applyBorder="1"/>
    <xf numFmtId="0" fontId="24" fillId="2" borderId="111" xfId="5" applyFont="1" applyFill="1" applyBorder="1" applyProtection="1">
      <protection locked="0"/>
    </xf>
    <xf numFmtId="0" fontId="22" fillId="0" borderId="0" xfId="5" applyFont="1" applyBorder="1"/>
    <xf numFmtId="0" fontId="22" fillId="0" borderId="48" xfId="5" applyFont="1" applyBorder="1"/>
    <xf numFmtId="0" fontId="22" fillId="0" borderId="0" xfId="5" applyFont="1" applyFill="1" applyBorder="1"/>
    <xf numFmtId="0" fontId="24" fillId="2" borderId="111" xfId="5" quotePrefix="1" applyFont="1" applyFill="1" applyBorder="1" applyAlignment="1" applyProtection="1">
      <alignment horizontal="left"/>
      <protection locked="0"/>
    </xf>
    <xf numFmtId="0" fontId="24" fillId="2" borderId="111" xfId="5" applyFont="1" applyFill="1" applyBorder="1" applyAlignment="1" applyProtection="1">
      <alignment horizontal="left"/>
      <protection locked="0"/>
    </xf>
    <xf numFmtId="14" fontId="22" fillId="0" borderId="0" xfId="5" applyNumberFormat="1" applyFont="1" applyFill="1" applyBorder="1" applyAlignment="1">
      <alignment horizontal="left"/>
    </xf>
    <xf numFmtId="0" fontId="22" fillId="0" borderId="0" xfId="5" applyFont="1" applyFill="1" applyBorder="1" applyAlignment="1">
      <alignment horizontal="centerContinuous"/>
    </xf>
    <xf numFmtId="0" fontId="22" fillId="0" borderId="0" xfId="5" applyFont="1" applyBorder="1" applyAlignment="1">
      <alignment horizontal="centerContinuous"/>
    </xf>
    <xf numFmtId="0" fontId="22" fillId="0" borderId="48" xfId="5" applyFont="1" applyBorder="1" applyAlignment="1">
      <alignment horizontal="centerContinuous"/>
    </xf>
    <xf numFmtId="0" fontId="24" fillId="0" borderId="47" xfId="5" applyFont="1" applyBorder="1" applyAlignment="1" applyProtection="1">
      <alignment horizontal="left"/>
      <protection locked="0"/>
    </xf>
    <xf numFmtId="0" fontId="22" fillId="0" borderId="70" xfId="5" applyFont="1" applyBorder="1"/>
    <xf numFmtId="0" fontId="23" fillId="0" borderId="117" xfId="5" applyFont="1" applyFill="1" applyBorder="1"/>
    <xf numFmtId="0" fontId="23" fillId="0" borderId="118" xfId="5" applyFont="1" applyFill="1" applyBorder="1"/>
    <xf numFmtId="0" fontId="23" fillId="0" borderId="119" xfId="5" applyFont="1" applyFill="1" applyBorder="1"/>
    <xf numFmtId="0" fontId="23" fillId="0" borderId="70" xfId="5" applyFont="1" applyFill="1" applyBorder="1"/>
    <xf numFmtId="0" fontId="27" fillId="2" borderId="16" xfId="5" applyNumberFormat="1" applyFont="1" applyFill="1" applyBorder="1" applyAlignment="1" applyProtection="1">
      <alignment horizontal="center"/>
      <protection locked="0"/>
    </xf>
    <xf numFmtId="0" fontId="23" fillId="0" borderId="35" xfId="5" applyFont="1" applyFill="1" applyBorder="1"/>
    <xf numFmtId="0" fontId="22" fillId="0" borderId="71" xfId="5" applyFont="1" applyBorder="1"/>
    <xf numFmtId="0" fontId="27" fillId="2" borderId="16" xfId="5" applyFont="1" applyFill="1" applyBorder="1" applyAlignment="1" applyProtection="1">
      <alignment horizontal="center"/>
      <protection locked="0"/>
    </xf>
    <xf numFmtId="0" fontId="27" fillId="2" borderId="17" xfId="5" applyFont="1" applyFill="1" applyBorder="1" applyProtection="1">
      <protection locked="0"/>
    </xf>
    <xf numFmtId="0" fontId="23" fillId="0" borderId="47" xfId="5" applyFont="1" applyFill="1" applyBorder="1"/>
    <xf numFmtId="0" fontId="27" fillId="0" borderId="0" xfId="5" applyFont="1" applyFill="1" applyBorder="1" applyAlignment="1" applyProtection="1">
      <alignment horizontal="center"/>
      <protection locked="0"/>
    </xf>
    <xf numFmtId="0" fontId="23" fillId="0" borderId="0" xfId="5" applyFont="1" applyFill="1" applyBorder="1"/>
    <xf numFmtId="0" fontId="27" fillId="0" borderId="0" xfId="5" applyFont="1" applyFill="1" applyBorder="1" applyProtection="1">
      <protection locked="0"/>
    </xf>
    <xf numFmtId="0" fontId="27" fillId="0" borderId="48" xfId="5" applyFont="1" applyFill="1" applyBorder="1" applyProtection="1">
      <protection locked="0"/>
    </xf>
    <xf numFmtId="0" fontId="23" fillId="0" borderId="27" xfId="5" applyFont="1" applyFill="1" applyBorder="1" applyAlignment="1">
      <alignment horizontal="left" vertical="top" wrapText="1"/>
    </xf>
    <xf numFmtId="0" fontId="23" fillId="0" borderId="66" xfId="5" applyFont="1" applyFill="1" applyBorder="1" applyAlignment="1" applyProtection="1">
      <alignment horizontal="center" vertical="top" wrapText="1"/>
      <protection locked="0"/>
    </xf>
    <xf numFmtId="0" fontId="23" fillId="0" borderId="37" xfId="5" applyFont="1" applyFill="1" applyBorder="1" applyAlignment="1">
      <alignment horizontal="center" vertical="top" wrapText="1"/>
    </xf>
    <xf numFmtId="0" fontId="23" fillId="0" borderId="28" xfId="5" applyFont="1" applyFill="1" applyBorder="1" applyAlignment="1">
      <alignment horizontal="center" vertical="top" wrapText="1"/>
    </xf>
    <xf numFmtId="0" fontId="23" fillId="0" borderId="29" xfId="5" applyFont="1" applyFill="1" applyBorder="1" applyAlignment="1">
      <alignment horizontal="center" vertical="top" wrapText="1"/>
    </xf>
    <xf numFmtId="0" fontId="22" fillId="0" borderId="47" xfId="5" applyFont="1" applyBorder="1"/>
    <xf numFmtId="0" fontId="23" fillId="0" borderId="47" xfId="5" applyFont="1" applyBorder="1"/>
    <xf numFmtId="0" fontId="22" fillId="0" borderId="47" xfId="6" applyFont="1" applyBorder="1" applyAlignment="1">
      <alignment horizontal="left"/>
    </xf>
    <xf numFmtId="3" fontId="24" fillId="0" borderId="120" xfId="5" applyNumberFormat="1" applyFont="1" applyBorder="1" applyAlignment="1" applyProtection="1">
      <alignment horizontal="center"/>
      <protection locked="0"/>
    </xf>
    <xf numFmtId="0" fontId="22" fillId="0" borderId="0" xfId="5" applyFont="1" applyBorder="1" applyAlignment="1">
      <alignment horizontal="center"/>
    </xf>
    <xf numFmtId="4" fontId="22" fillId="0" borderId="0" xfId="5" applyNumberFormat="1" applyFont="1" applyBorder="1" applyAlignment="1">
      <alignment horizontal="center"/>
    </xf>
    <xf numFmtId="4" fontId="22" fillId="0" borderId="48" xfId="5" applyNumberFormat="1" applyFont="1" applyBorder="1" applyAlignment="1">
      <alignment horizontal="center"/>
    </xf>
    <xf numFmtId="3" fontId="24" fillId="0" borderId="16" xfId="5" applyNumberFormat="1" applyFont="1" applyBorder="1" applyAlignment="1" applyProtection="1">
      <alignment horizontal="center"/>
      <protection locked="0"/>
    </xf>
    <xf numFmtId="0" fontId="22" fillId="0" borderId="47" xfId="6" quotePrefix="1" applyFont="1" applyBorder="1" applyAlignment="1">
      <alignment horizontal="left"/>
    </xf>
    <xf numFmtId="0" fontId="22" fillId="0" borderId="57" xfId="5" applyFont="1" applyBorder="1" applyAlignment="1">
      <alignment horizontal="center"/>
    </xf>
    <xf numFmtId="164" fontId="22" fillId="0" borderId="57" xfId="5" applyNumberFormat="1" applyFont="1" applyBorder="1" applyAlignment="1">
      <alignment horizontal="center"/>
    </xf>
    <xf numFmtId="164" fontId="22" fillId="0" borderId="0" xfId="5" applyNumberFormat="1" applyFont="1" applyBorder="1" applyAlignment="1">
      <alignment horizontal="center"/>
    </xf>
    <xf numFmtId="0" fontId="22" fillId="0" borderId="121" xfId="5" applyFont="1" applyBorder="1"/>
    <xf numFmtId="3" fontId="24" fillId="0" borderId="122" xfId="5" applyNumberFormat="1" applyFont="1" applyBorder="1" applyAlignment="1" applyProtection="1">
      <alignment horizontal="center"/>
      <protection locked="0"/>
    </xf>
    <xf numFmtId="0" fontId="22" fillId="0" borderId="123" xfId="5" applyFont="1" applyBorder="1" applyAlignment="1">
      <alignment horizontal="center"/>
    </xf>
    <xf numFmtId="4" fontId="22" fillId="0" borderId="123" xfId="5" applyNumberFormat="1" applyFont="1" applyBorder="1" applyAlignment="1">
      <alignment horizontal="center"/>
    </xf>
    <xf numFmtId="4" fontId="22" fillId="0" borderId="124" xfId="5" applyNumberFormat="1" applyFont="1" applyBorder="1" applyAlignment="1">
      <alignment horizontal="center"/>
    </xf>
    <xf numFmtId="0" fontId="22" fillId="0" borderId="49" xfId="5" applyFont="1" applyBorder="1"/>
    <xf numFmtId="3" fontId="22" fillId="0" borderId="3" xfId="5" applyNumberFormat="1" applyFont="1" applyBorder="1" applyAlignment="1">
      <alignment horizontal="center"/>
    </xf>
    <xf numFmtId="0" fontId="22" fillId="0" borderId="3" xfId="5" applyFont="1" applyBorder="1" applyAlignment="1">
      <alignment horizontal="center"/>
    </xf>
    <xf numFmtId="4" fontId="22" fillId="0" borderId="3" xfId="5" applyNumberFormat="1" applyFont="1" applyBorder="1" applyAlignment="1">
      <alignment horizontal="center"/>
    </xf>
    <xf numFmtId="170" fontId="22" fillId="0" borderId="3" xfId="5" applyNumberFormat="1" applyFont="1" applyBorder="1" applyAlignment="1">
      <alignment horizontal="center"/>
    </xf>
    <xf numFmtId="170" fontId="22" fillId="0" borderId="4" xfId="5" applyNumberFormat="1" applyFont="1" applyBorder="1" applyAlignment="1">
      <alignment horizontal="center"/>
    </xf>
    <xf numFmtId="3" fontId="22" fillId="0" borderId="0" xfId="5" applyNumberFormat="1" applyFont="1" applyBorder="1" applyAlignment="1">
      <alignment horizontal="center"/>
    </xf>
    <xf numFmtId="2" fontId="22" fillId="0" borderId="0" xfId="5" applyNumberFormat="1" applyFont="1" applyBorder="1" applyAlignment="1">
      <alignment horizontal="center"/>
    </xf>
    <xf numFmtId="0" fontId="23" fillId="0" borderId="125" xfId="5" applyFont="1" applyBorder="1"/>
    <xf numFmtId="3" fontId="22" fillId="0" borderId="115" xfId="5" applyNumberFormat="1" applyFont="1" applyBorder="1" applyAlignment="1">
      <alignment horizontal="center"/>
    </xf>
    <xf numFmtId="0" fontId="22" fillId="0" borderId="115" xfId="5" applyFont="1" applyBorder="1" applyAlignment="1">
      <alignment horizontal="center"/>
    </xf>
    <xf numFmtId="2" fontId="22" fillId="0" borderId="115" xfId="5" applyNumberFormat="1" applyFont="1" applyBorder="1" applyAlignment="1">
      <alignment horizontal="center"/>
    </xf>
    <xf numFmtId="4" fontId="22" fillId="0" borderId="116" xfId="5" applyNumberFormat="1" applyFont="1" applyBorder="1" applyAlignment="1">
      <alignment horizontal="center"/>
    </xf>
    <xf numFmtId="2" fontId="22" fillId="0" borderId="123" xfId="5" applyNumberFormat="1" applyFont="1" applyBorder="1" applyAlignment="1">
      <alignment horizontal="center"/>
    </xf>
    <xf numFmtId="164" fontId="22" fillId="0" borderId="48" xfId="5" applyNumberFormat="1" applyFont="1" applyBorder="1" applyAlignment="1">
      <alignment horizontal="center"/>
    </xf>
    <xf numFmtId="1" fontId="22" fillId="0" borderId="0" xfId="5" applyNumberFormat="1" applyFont="1" applyBorder="1" applyAlignment="1">
      <alignment horizontal="center"/>
    </xf>
    <xf numFmtId="4" fontId="22" fillId="6" borderId="48" xfId="5" applyNumberFormat="1" applyFont="1" applyFill="1" applyBorder="1" applyAlignment="1">
      <alignment horizontal="center"/>
    </xf>
    <xf numFmtId="3" fontId="23" fillId="0" borderId="0" xfId="5" applyNumberFormat="1" applyFont="1" applyBorder="1" applyAlignment="1">
      <alignment horizontal="center"/>
    </xf>
    <xf numFmtId="2" fontId="23" fillId="0" borderId="0" xfId="5" applyNumberFormat="1" applyFont="1" applyBorder="1" applyAlignment="1">
      <alignment horizontal="center"/>
    </xf>
    <xf numFmtId="164" fontId="23" fillId="0" borderId="0" xfId="5" applyNumberFormat="1" applyFont="1" applyBorder="1" applyAlignment="1">
      <alignment horizontal="center"/>
    </xf>
    <xf numFmtId="0" fontId="22" fillId="0" borderId="3" xfId="5" applyFont="1" applyBorder="1"/>
    <xf numFmtId="2" fontId="22" fillId="0" borderId="3" xfId="5" applyNumberFormat="1" applyFont="1" applyBorder="1"/>
    <xf numFmtId="2" fontId="22" fillId="0" borderId="4" xfId="5" applyNumberFormat="1" applyFont="1" applyBorder="1"/>
    <xf numFmtId="0" fontId="22" fillId="0" borderId="57" xfId="5" applyFont="1" applyBorder="1"/>
    <xf numFmtId="0" fontId="22" fillId="0" borderId="73" xfId="5" applyFont="1" applyBorder="1"/>
    <xf numFmtId="0" fontId="22" fillId="0" borderId="35" xfId="5" applyFont="1" applyBorder="1"/>
    <xf numFmtId="0" fontId="22" fillId="0" borderId="126" xfId="5" applyFont="1" applyBorder="1"/>
    <xf numFmtId="0" fontId="22" fillId="0" borderId="74" xfId="5" applyFont="1" applyBorder="1"/>
    <xf numFmtId="0" fontId="25" fillId="0" borderId="0" xfId="5" applyFont="1" applyBorder="1"/>
    <xf numFmtId="0" fontId="22" fillId="0" borderId="0" xfId="7" applyFont="1"/>
    <xf numFmtId="0" fontId="22" fillId="0" borderId="0" xfId="7" applyFont="1" applyBorder="1"/>
    <xf numFmtId="0" fontId="29" fillId="0" borderId="0" xfId="7" applyFont="1" applyBorder="1"/>
    <xf numFmtId="0" fontId="30" fillId="0" borderId="0" xfId="7" applyFont="1" applyAlignment="1">
      <alignment horizontal="centerContinuous"/>
    </xf>
    <xf numFmtId="0" fontId="22" fillId="0" borderId="0" xfId="7" applyFont="1" applyAlignment="1">
      <alignment horizontal="centerContinuous"/>
    </xf>
    <xf numFmtId="0" fontId="31" fillId="0" borderId="0" xfId="7" applyFont="1" applyAlignment="1">
      <alignment horizontal="centerContinuous"/>
    </xf>
    <xf numFmtId="0" fontId="22" fillId="0" borderId="125" xfId="7" applyFont="1" applyBorder="1"/>
    <xf numFmtId="0" fontId="22" fillId="0" borderId="115" xfId="7" applyFont="1" applyBorder="1"/>
    <xf numFmtId="0" fontId="22" fillId="0" borderId="127" xfId="7" applyFont="1" applyBorder="1"/>
    <xf numFmtId="0" fontId="22" fillId="0" borderId="116" xfId="7" applyFont="1" applyBorder="1"/>
    <xf numFmtId="0" fontId="22" fillId="0" borderId="47" xfId="7" applyFont="1" applyBorder="1"/>
    <xf numFmtId="0" fontId="22" fillId="0" borderId="73" xfId="7" applyFont="1" applyBorder="1"/>
    <xf numFmtId="0" fontId="31" fillId="0" borderId="0" xfId="7" applyFont="1" applyBorder="1" applyAlignment="1">
      <alignment horizontal="centerContinuous"/>
    </xf>
    <xf numFmtId="0" fontId="22" fillId="0" borderId="0" xfId="7" applyFont="1" applyBorder="1" applyAlignment="1">
      <alignment horizontal="centerContinuous"/>
    </xf>
    <xf numFmtId="0" fontId="22" fillId="0" borderId="48" xfId="7" applyFont="1" applyBorder="1" applyAlignment="1">
      <alignment horizontal="centerContinuous"/>
    </xf>
    <xf numFmtId="0" fontId="22" fillId="0" borderId="128" xfId="7" applyFont="1" applyBorder="1" applyAlignment="1">
      <alignment horizontal="centerContinuous"/>
    </xf>
    <xf numFmtId="0" fontId="22" fillId="0" borderId="129" xfId="7" applyFont="1" applyBorder="1" applyAlignment="1">
      <alignment horizontal="centerContinuous"/>
    </xf>
    <xf numFmtId="0" fontId="22" fillId="0" borderId="57" xfId="7" applyFont="1" applyBorder="1" applyAlignment="1">
      <alignment horizontal="center"/>
    </xf>
    <xf numFmtId="0" fontId="22" fillId="0" borderId="73" xfId="7" applyFont="1" applyBorder="1" applyAlignment="1">
      <alignment horizontal="center"/>
    </xf>
    <xf numFmtId="0" fontId="22" fillId="0" borderId="0" xfId="7" applyFont="1" applyBorder="1" applyAlignment="1">
      <alignment horizontal="center"/>
    </xf>
    <xf numFmtId="0" fontId="22" fillId="0" borderId="48" xfId="7" applyFont="1" applyBorder="1" applyAlignment="1">
      <alignment horizontal="center"/>
    </xf>
    <xf numFmtId="0" fontId="23" fillId="0" borderId="49" xfId="7" applyFont="1" applyBorder="1"/>
    <xf numFmtId="0" fontId="22" fillId="0" borderId="3" xfId="7" applyFont="1" applyBorder="1"/>
    <xf numFmtId="0" fontId="22" fillId="0" borderId="76" xfId="7" applyFont="1" applyBorder="1"/>
    <xf numFmtId="0" fontId="22" fillId="0" borderId="45" xfId="7" applyFont="1" applyBorder="1" applyAlignment="1">
      <alignment horizontal="center"/>
    </xf>
    <xf numFmtId="0" fontId="22" fillId="0" borderId="76" xfId="7" applyFont="1" applyBorder="1" applyAlignment="1">
      <alignment horizontal="center"/>
    </xf>
    <xf numFmtId="0" fontId="22" fillId="0" borderId="3" xfId="7" applyFont="1" applyBorder="1" applyAlignment="1">
      <alignment horizontal="center"/>
    </xf>
    <xf numFmtId="0" fontId="22" fillId="0" borderId="4" xfId="7" applyFont="1" applyBorder="1" applyAlignment="1">
      <alignment horizontal="center"/>
    </xf>
    <xf numFmtId="0" fontId="22" fillId="0" borderId="57" xfId="7" applyFont="1" applyBorder="1"/>
    <xf numFmtId="0" fontId="22" fillId="0" borderId="48" xfId="7" applyFont="1" applyBorder="1"/>
    <xf numFmtId="0" fontId="23" fillId="0" borderId="0" xfId="7" applyFont="1" applyBorder="1"/>
    <xf numFmtId="164" fontId="22" fillId="0" borderId="57" xfId="7" applyNumberFormat="1" applyFont="1" applyBorder="1" applyAlignment="1">
      <alignment horizontal="center"/>
    </xf>
    <xf numFmtId="165" fontId="22" fillId="0" borderId="57" xfId="7" applyNumberFormat="1" applyFont="1" applyBorder="1" applyAlignment="1">
      <alignment horizontal="center"/>
    </xf>
    <xf numFmtId="2" fontId="22" fillId="0" borderId="73" xfId="7" applyNumberFormat="1" applyFont="1" applyBorder="1" applyAlignment="1">
      <alignment horizontal="center"/>
    </xf>
    <xf numFmtId="165" fontId="22" fillId="0" borderId="0" xfId="7" applyNumberFormat="1" applyFont="1" applyBorder="1" applyAlignment="1">
      <alignment horizontal="center"/>
    </xf>
    <xf numFmtId="0" fontId="22" fillId="0" borderId="70" xfId="7" applyFont="1" applyBorder="1"/>
    <xf numFmtId="0" fontId="22" fillId="0" borderId="71" xfId="7" applyFont="1" applyBorder="1"/>
    <xf numFmtId="0" fontId="22" fillId="0" borderId="74" xfId="7" applyFont="1" applyBorder="1"/>
    <xf numFmtId="164" fontId="22" fillId="0" borderId="35" xfId="7" applyNumberFormat="1" applyFont="1" applyBorder="1" applyAlignment="1">
      <alignment horizontal="center"/>
    </xf>
    <xf numFmtId="0" fontId="22" fillId="0" borderId="74" xfId="7" applyFont="1" applyBorder="1" applyAlignment="1">
      <alignment horizontal="center"/>
    </xf>
    <xf numFmtId="165" fontId="22" fillId="0" borderId="35" xfId="7" applyNumberFormat="1" applyFont="1" applyBorder="1" applyAlignment="1">
      <alignment horizontal="center"/>
    </xf>
    <xf numFmtId="2" fontId="22" fillId="0" borderId="74" xfId="7" applyNumberFormat="1" applyFont="1" applyBorder="1" applyAlignment="1">
      <alignment horizontal="center"/>
    </xf>
    <xf numFmtId="165" fontId="22" fillId="0" borderId="71" xfId="7" applyNumberFormat="1" applyFont="1" applyBorder="1" applyAlignment="1">
      <alignment horizontal="center"/>
    </xf>
    <xf numFmtId="0" fontId="22" fillId="0" borderId="55" xfId="7" applyFont="1" applyBorder="1" applyAlignment="1">
      <alignment horizontal="center"/>
    </xf>
    <xf numFmtId="0" fontId="22" fillId="0" borderId="49" xfId="7" applyFont="1" applyBorder="1"/>
    <xf numFmtId="0" fontId="22" fillId="0" borderId="45" xfId="7" applyFont="1" applyBorder="1"/>
    <xf numFmtId="0" fontId="22" fillId="0" borderId="4" xfId="7" applyFont="1" applyBorder="1"/>
    <xf numFmtId="0" fontId="33" fillId="0" borderId="0" xfId="7" applyFont="1"/>
    <xf numFmtId="0" fontId="34" fillId="0" borderId="0" xfId="7" quotePrefix="1" applyFont="1"/>
    <xf numFmtId="0" fontId="34" fillId="0" borderId="0" xfId="7" applyFont="1"/>
    <xf numFmtId="0" fontId="25" fillId="0" borderId="0" xfId="7" applyFont="1"/>
    <xf numFmtId="0" fontId="29" fillId="0" borderId="0" xfId="7" applyFont="1" applyAlignment="1"/>
    <xf numFmtId="0" fontId="29" fillId="0" borderId="0" xfId="7" applyFont="1"/>
    <xf numFmtId="0" fontId="30" fillId="0" borderId="0" xfId="7" applyFont="1" applyAlignment="1"/>
    <xf numFmtId="0" fontId="22" fillId="0" borderId="0" xfId="6" applyFont="1"/>
    <xf numFmtId="0" fontId="22" fillId="0" borderId="0" xfId="6" applyFont="1" applyBorder="1"/>
    <xf numFmtId="0" fontId="23" fillId="0" borderId="27" xfId="6" applyFont="1" applyBorder="1" applyAlignment="1">
      <alignment horizontal="center" vertical="center"/>
    </xf>
    <xf numFmtId="0" fontId="23" fillId="0" borderId="37" xfId="6" applyFont="1" applyBorder="1" applyAlignment="1">
      <alignment horizontal="center" vertical="center"/>
    </xf>
    <xf numFmtId="0" fontId="23" fillId="0" borderId="36" xfId="6" applyFont="1" applyFill="1" applyBorder="1" applyAlignment="1">
      <alignment horizontal="center" vertical="center" wrapText="1"/>
    </xf>
    <xf numFmtId="0" fontId="23" fillId="0" borderId="9" xfId="6" applyFont="1" applyFill="1" applyBorder="1" applyAlignment="1">
      <alignment horizontal="center" vertical="center" wrapText="1"/>
    </xf>
    <xf numFmtId="0" fontId="22" fillId="0" borderId="134" xfId="6" applyFont="1" applyBorder="1"/>
    <xf numFmtId="0" fontId="22" fillId="0" borderId="135" xfId="6" applyFont="1" applyBorder="1"/>
    <xf numFmtId="0" fontId="22" fillId="0" borderId="135" xfId="6" applyFont="1" applyBorder="1" applyAlignment="1">
      <alignment horizontal="center"/>
    </xf>
    <xf numFmtId="0" fontId="22" fillId="0" borderId="110" xfId="6" applyFont="1" applyBorder="1" applyAlignment="1">
      <alignment horizontal="center"/>
    </xf>
    <xf numFmtId="0" fontId="22" fillId="0" borderId="136" xfId="6" applyFont="1" applyBorder="1" applyAlignment="1">
      <alignment horizontal="center"/>
    </xf>
    <xf numFmtId="0" fontId="22" fillId="0" borderId="120" xfId="6" applyFont="1" applyBorder="1" applyAlignment="1">
      <alignment horizontal="left"/>
    </xf>
    <xf numFmtId="0" fontId="22" fillId="0" borderId="120" xfId="6" quotePrefix="1" applyFont="1" applyBorder="1" applyAlignment="1">
      <alignment horizontal="center"/>
    </xf>
    <xf numFmtId="9" fontId="22" fillId="0" borderId="112" xfId="3" applyNumberFormat="1" applyFont="1" applyBorder="1" applyAlignment="1" applyProtection="1">
      <alignment horizontal="center"/>
      <protection locked="0"/>
    </xf>
    <xf numFmtId="0" fontId="22" fillId="0" borderId="0" xfId="6" applyFont="1" applyBorder="1" applyAlignment="1">
      <alignment horizontal="center"/>
    </xf>
    <xf numFmtId="0" fontId="22" fillId="0" borderId="120" xfId="6" quotePrefix="1" applyFont="1" applyBorder="1" applyAlignment="1">
      <alignment horizontal="left"/>
    </xf>
    <xf numFmtId="0" fontId="22" fillId="0" borderId="120" xfId="6" applyFont="1" applyBorder="1" applyAlignment="1">
      <alignment horizontal="center"/>
    </xf>
    <xf numFmtId="0" fontId="22" fillId="0" borderId="137" xfId="6" applyFont="1" applyBorder="1" applyAlignment="1">
      <alignment horizontal="center"/>
    </xf>
    <xf numFmtId="0" fontId="22" fillId="0" borderId="138" xfId="6" applyFont="1" applyBorder="1" applyAlignment="1">
      <alignment horizontal="left"/>
    </xf>
    <xf numFmtId="0" fontId="22" fillId="0" borderId="138" xfId="6" applyFont="1" applyBorder="1" applyAlignment="1">
      <alignment horizontal="center"/>
    </xf>
    <xf numFmtId="9" fontId="22" fillId="0" borderId="114" xfId="3" applyNumberFormat="1" applyFont="1" applyBorder="1" applyAlignment="1" applyProtection="1">
      <alignment horizontal="center"/>
      <protection locked="0"/>
    </xf>
    <xf numFmtId="0" fontId="22" fillId="0" borderId="0" xfId="6" applyFont="1" applyAlignment="1">
      <alignment horizontal="center"/>
    </xf>
    <xf numFmtId="0" fontId="22" fillId="0" borderId="0" xfId="6" quotePrefix="1" applyFont="1" applyBorder="1" applyAlignment="1">
      <alignment horizontal="left"/>
    </xf>
    <xf numFmtId="9" fontId="22" fillId="0" borderId="0" xfId="3" applyFont="1" applyBorder="1" applyAlignment="1" applyProtection="1">
      <alignment horizontal="center"/>
      <protection locked="0"/>
    </xf>
    <xf numFmtId="0" fontId="22" fillId="0" borderId="0" xfId="6" applyFont="1" applyAlignment="1">
      <alignment horizontal="right"/>
    </xf>
    <xf numFmtId="0" fontId="35" fillId="0" borderId="0" xfId="6" applyFont="1"/>
    <xf numFmtId="0" fontId="22" fillId="0" borderId="0" xfId="6" quotePrefix="1" applyFont="1" applyAlignment="1">
      <alignment horizontal="right"/>
    </xf>
    <xf numFmtId="0" fontId="32" fillId="0" borderId="0" xfId="6" applyFont="1"/>
    <xf numFmtId="0" fontId="32" fillId="0" borderId="0" xfId="6" applyFont="1" applyAlignment="1">
      <alignment horizontal="left"/>
    </xf>
    <xf numFmtId="0" fontId="25" fillId="0" borderId="0" xfId="6" applyFont="1"/>
    <xf numFmtId="15" fontId="4" fillId="2" borderId="48" xfId="1" applyNumberFormat="1" applyFill="1" applyBorder="1" applyProtection="1"/>
    <xf numFmtId="0" fontId="18" fillId="0" borderId="111" xfId="0" applyFont="1" applyBorder="1" applyAlignment="1">
      <alignment horizontal="center"/>
    </xf>
    <xf numFmtId="0" fontId="18" fillId="0" borderId="113" xfId="0" applyFont="1" applyBorder="1" applyAlignment="1">
      <alignment horizontal="center"/>
    </xf>
    <xf numFmtId="0" fontId="18" fillId="5" borderId="134" xfId="0" applyFont="1" applyFill="1" applyBorder="1" applyAlignment="1"/>
    <xf numFmtId="0" fontId="18" fillId="0" borderId="15" xfId="0" applyFont="1" applyBorder="1" applyAlignment="1">
      <alignment horizontal="center"/>
    </xf>
    <xf numFmtId="0" fontId="18" fillId="5" borderId="134" xfId="0" applyFont="1" applyFill="1" applyBorder="1" applyAlignment="1">
      <alignment horizontal="center"/>
    </xf>
    <xf numFmtId="0" fontId="18" fillId="0" borderId="112" xfId="0" applyFont="1" applyBorder="1"/>
    <xf numFmtId="0" fontId="18" fillId="0" borderId="114" xfId="0" applyFont="1" applyBorder="1"/>
    <xf numFmtId="0" fontId="18" fillId="5" borderId="32" xfId="0" applyFont="1" applyFill="1" applyBorder="1" applyAlignment="1">
      <alignment horizontal="center"/>
    </xf>
    <xf numFmtId="0" fontId="18" fillId="0" borderId="17" xfId="0" applyFont="1" applyFill="1" applyBorder="1" applyAlignment="1">
      <alignment horizontal="center"/>
    </xf>
    <xf numFmtId="0" fontId="18" fillId="0" borderId="112" xfId="0" applyFont="1" applyFill="1" applyBorder="1" applyAlignment="1">
      <alignment horizontal="center"/>
    </xf>
    <xf numFmtId="0" fontId="18" fillId="0" borderId="114" xfId="0" applyFont="1" applyFill="1" applyBorder="1" applyAlignment="1">
      <alignment horizontal="center"/>
    </xf>
    <xf numFmtId="0" fontId="18" fillId="0" borderId="98" xfId="0" applyFont="1" applyBorder="1"/>
    <xf numFmtId="0" fontId="18" fillId="0" borderId="100" xfId="0" applyFont="1" applyBorder="1" applyAlignment="1"/>
    <xf numFmtId="0" fontId="18" fillId="0" borderId="139" xfId="0" applyFont="1" applyFill="1" applyBorder="1" applyAlignment="1"/>
    <xf numFmtId="0" fontId="18" fillId="0" borderId="100" xfId="0" applyFont="1" applyBorder="1" applyAlignment="1">
      <alignment horizontal="center"/>
    </xf>
    <xf numFmtId="0" fontId="18" fillId="0" borderId="140" xfId="0" applyFont="1" applyFill="1" applyBorder="1" applyAlignment="1">
      <alignment horizontal="center"/>
    </xf>
    <xf numFmtId="0" fontId="18" fillId="0" borderId="141" xfId="0" applyFont="1" applyBorder="1" applyAlignment="1"/>
    <xf numFmtId="0" fontId="18" fillId="0" borderId="100" xfId="0" applyFont="1" applyFill="1" applyBorder="1" applyAlignment="1"/>
    <xf numFmtId="0" fontId="18" fillId="0" borderId="140" xfId="0" applyFont="1" applyFill="1" applyBorder="1" applyAlignment="1"/>
    <xf numFmtId="0" fontId="18" fillId="0" borderId="142" xfId="0" applyFont="1" applyBorder="1"/>
    <xf numFmtId="0" fontId="18" fillId="0" borderId="143" xfId="0" applyFont="1" applyBorder="1" applyAlignment="1"/>
    <xf numFmtId="0" fontId="18" fillId="0" borderId="143" xfId="0" applyFont="1" applyFill="1" applyBorder="1" applyAlignment="1">
      <alignment horizontal="center"/>
    </xf>
    <xf numFmtId="0" fontId="18" fillId="0" borderId="144" xfId="0" applyFont="1" applyFill="1" applyBorder="1" applyAlignment="1"/>
    <xf numFmtId="0" fontId="18" fillId="0" borderId="143" xfId="0" applyFont="1" applyBorder="1" applyAlignment="1">
      <alignment horizontal="center"/>
    </xf>
    <xf numFmtId="0" fontId="18" fillId="0" borderId="146" xfId="0" applyFont="1" applyFill="1" applyBorder="1" applyAlignment="1">
      <alignment horizontal="center"/>
    </xf>
    <xf numFmtId="0" fontId="18" fillId="0" borderId="147" xfId="0" applyFont="1" applyBorder="1" applyAlignment="1"/>
    <xf numFmtId="0" fontId="18" fillId="0" borderId="143" xfId="0" applyFont="1" applyFill="1" applyBorder="1" applyAlignment="1"/>
    <xf numFmtId="0" fontId="18" fillId="0" borderId="146" xfId="0" applyFont="1" applyFill="1" applyBorder="1" applyAlignment="1"/>
    <xf numFmtId="0" fontId="18" fillId="5" borderId="77" xfId="0" applyFont="1" applyFill="1" applyBorder="1"/>
    <xf numFmtId="0" fontId="18" fillId="5" borderId="106" xfId="0" applyFont="1" applyFill="1" applyBorder="1" applyAlignment="1"/>
    <xf numFmtId="0" fontId="18" fillId="5" borderId="79" xfId="0" applyFont="1" applyFill="1" applyBorder="1" applyAlignment="1"/>
    <xf numFmtId="0" fontId="18" fillId="5" borderId="107" xfId="0" applyFont="1" applyFill="1" applyBorder="1" applyAlignment="1"/>
    <xf numFmtId="0" fontId="18" fillId="5" borderId="108" xfId="0" applyFont="1" applyFill="1" applyBorder="1" applyAlignment="1"/>
    <xf numFmtId="0" fontId="18" fillId="5" borderId="80" xfId="0" applyFont="1" applyFill="1" applyBorder="1" applyAlignment="1"/>
    <xf numFmtId="0" fontId="18" fillId="0" borderId="90" xfId="0" applyFont="1" applyFill="1" applyBorder="1" applyAlignment="1"/>
    <xf numFmtId="0" fontId="18" fillId="0" borderId="95" xfId="0" applyFont="1" applyFill="1" applyBorder="1" applyAlignment="1"/>
    <xf numFmtId="0" fontId="18" fillId="0" borderId="101" xfId="0" applyFont="1" applyFill="1" applyBorder="1" applyAlignment="1"/>
    <xf numFmtId="0" fontId="18" fillId="0" borderId="145" xfId="0" applyFont="1" applyFill="1" applyBorder="1" applyAlignment="1"/>
    <xf numFmtId="0" fontId="0" fillId="5" borderId="50" xfId="0" applyFill="1" applyBorder="1"/>
    <xf numFmtId="0" fontId="0" fillId="5" borderId="51" xfId="0" applyFill="1" applyBorder="1"/>
    <xf numFmtId="15" fontId="3" fillId="5" borderId="51" xfId="0" applyNumberFormat="1" applyFont="1" applyFill="1" applyBorder="1"/>
    <xf numFmtId="0" fontId="0" fillId="5" borderId="38" xfId="0" applyFill="1" applyBorder="1"/>
    <xf numFmtId="170" fontId="23" fillId="0" borderId="48" xfId="5" applyNumberFormat="1" applyFont="1" applyBorder="1" applyAlignment="1">
      <alignment horizontal="center"/>
    </xf>
    <xf numFmtId="0" fontId="18" fillId="0" borderId="0" xfId="0" applyFont="1"/>
    <xf numFmtId="0" fontId="0" fillId="4" borderId="27" xfId="0" applyFill="1" applyBorder="1"/>
    <xf numFmtId="0" fontId="0" fillId="4" borderId="28" xfId="0" applyFill="1" applyBorder="1"/>
    <xf numFmtId="0" fontId="0" fillId="4" borderId="2" xfId="0" applyFill="1" applyBorder="1"/>
    <xf numFmtId="0" fontId="0" fillId="4" borderId="29" xfId="0" applyFill="1" applyBorder="1"/>
    <xf numFmtId="0" fontId="0" fillId="4" borderId="27" xfId="0" applyFill="1" applyBorder="1" applyAlignment="1">
      <alignment horizontal="left"/>
    </xf>
    <xf numFmtId="0" fontId="0" fillId="4" borderId="28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4" borderId="67" xfId="0" applyFill="1" applyBorder="1"/>
    <xf numFmtId="0" fontId="0" fillId="4" borderId="66" xfId="0" applyFill="1" applyBorder="1"/>
    <xf numFmtId="0" fontId="0" fillId="4" borderId="9" xfId="0" applyFill="1" applyBorder="1" applyAlignment="1"/>
    <xf numFmtId="0" fontId="0" fillId="0" borderId="114" xfId="0" applyBorder="1" applyAlignment="1">
      <alignment horizontal="center"/>
    </xf>
    <xf numFmtId="0" fontId="18" fillId="0" borderId="0" xfId="0" applyFont="1" applyAlignment="1">
      <alignment horizontal="left" vertical="center" wrapText="1"/>
    </xf>
    <xf numFmtId="0" fontId="18" fillId="3" borderId="77" xfId="0" applyFont="1" applyFill="1" applyBorder="1" applyAlignment="1">
      <alignment horizontal="center"/>
    </xf>
    <xf numFmtId="0" fontId="18" fillId="3" borderId="78" xfId="0" applyFont="1" applyFill="1" applyBorder="1" applyAlignment="1">
      <alignment horizontal="center"/>
    </xf>
    <xf numFmtId="0" fontId="18" fillId="3" borderId="81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33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65" xfId="0" applyBorder="1" applyAlignment="1">
      <alignment horizontal="center"/>
    </xf>
    <xf numFmtId="0" fontId="18" fillId="0" borderId="0" xfId="0" applyFont="1" applyAlignment="1">
      <alignment horizontal="left" wrapText="1"/>
    </xf>
    <xf numFmtId="0" fontId="0" fillId="4" borderId="28" xfId="0" applyFill="1" applyBorder="1" applyAlignment="1">
      <alignment horizontal="center"/>
    </xf>
    <xf numFmtId="0" fontId="0" fillId="4" borderId="66" xfId="0" applyFill="1" applyBorder="1" applyAlignment="1">
      <alignment horizontal="center"/>
    </xf>
    <xf numFmtId="0" fontId="0" fillId="0" borderId="68" xfId="0" applyBorder="1" applyAlignment="1">
      <alignment horizontal="center" vertical="center" textRotation="90"/>
    </xf>
    <xf numFmtId="0" fontId="0" fillId="0" borderId="58" xfId="0" applyBorder="1" applyAlignment="1">
      <alignment horizontal="center" vertical="center" textRotation="90"/>
    </xf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9" xfId="0" applyBorder="1" applyAlignment="1">
      <alignment horizontal="center" vertical="center" textRotation="90"/>
    </xf>
    <xf numFmtId="167" fontId="0" fillId="2" borderId="0" xfId="0" applyNumberFormat="1" applyFill="1" applyAlignment="1">
      <alignment horizontal="left"/>
    </xf>
    <xf numFmtId="0" fontId="0" fillId="0" borderId="0" xfId="0" applyFill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59" xfId="0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0" fillId="2" borderId="57" xfId="0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0" fillId="2" borderId="73" xfId="0" applyFill="1" applyBorder="1" applyAlignment="1">
      <alignment horizontal="center" vertical="top"/>
    </xf>
    <xf numFmtId="0" fontId="0" fillId="0" borderId="26" xfId="0" applyFont="1" applyFill="1" applyBorder="1" applyAlignment="1">
      <alignment horizontal="center"/>
    </xf>
    <xf numFmtId="0" fontId="0" fillId="0" borderId="5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5" xfId="0" applyFill="1" applyBorder="1" applyAlignment="1">
      <alignment horizontal="center"/>
    </xf>
    <xf numFmtId="167" fontId="0" fillId="2" borderId="51" xfId="0" applyNumberFormat="1" applyFont="1" applyFill="1" applyBorder="1" applyAlignment="1">
      <alignment horizontal="left"/>
    </xf>
    <xf numFmtId="0" fontId="0" fillId="2" borderId="57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73" xfId="0" applyFill="1" applyBorder="1" applyAlignment="1">
      <alignment horizontal="center"/>
    </xf>
    <xf numFmtId="0" fontId="0" fillId="0" borderId="148" xfId="0" applyFont="1" applyFill="1" applyBorder="1" applyAlignment="1">
      <alignment horizontal="center" wrapText="1"/>
    </xf>
    <xf numFmtId="0" fontId="0" fillId="0" borderId="16" xfId="0" applyFont="1" applyFill="1" applyBorder="1" applyAlignment="1">
      <alignment horizontal="center" wrapText="1"/>
    </xf>
    <xf numFmtId="0" fontId="23" fillId="0" borderId="0" xfId="5" applyFont="1" applyAlignment="1">
      <alignment horizontal="center"/>
    </xf>
    <xf numFmtId="0" fontId="25" fillId="0" borderId="0" xfId="5" applyFont="1" applyBorder="1" applyAlignment="1">
      <alignment horizontal="left" vertical="top" wrapText="1"/>
    </xf>
    <xf numFmtId="169" fontId="25" fillId="0" borderId="0" xfId="4" applyFont="1" applyBorder="1" applyAlignment="1">
      <alignment horizontal="left" vertical="top" wrapText="1"/>
    </xf>
    <xf numFmtId="169" fontId="25" fillId="0" borderId="48" xfId="4" applyFont="1" applyBorder="1" applyAlignment="1">
      <alignment horizontal="left" vertical="top" wrapText="1"/>
    </xf>
    <xf numFmtId="169" fontId="25" fillId="0" borderId="71" xfId="4" applyFont="1" applyBorder="1" applyAlignment="1">
      <alignment horizontal="left" vertical="top" wrapText="1"/>
    </xf>
    <xf numFmtId="169" fontId="25" fillId="0" borderId="55" xfId="4" applyFont="1" applyBorder="1" applyAlignment="1">
      <alignment horizontal="left" vertical="top" wrapText="1"/>
    </xf>
    <xf numFmtId="0" fontId="34" fillId="0" borderId="0" xfId="7" applyFont="1" applyAlignment="1">
      <alignment wrapText="1"/>
    </xf>
    <xf numFmtId="169" fontId="29" fillId="0" borderId="0" xfId="4" applyFont="1" applyAlignment="1">
      <alignment wrapText="1"/>
    </xf>
    <xf numFmtId="0" fontId="34" fillId="0" borderId="0" xfId="7" applyFont="1" applyAlignment="1">
      <alignment horizontal="left"/>
    </xf>
    <xf numFmtId="0" fontId="23" fillId="0" borderId="130" xfId="7" applyFont="1" applyBorder="1" applyAlignment="1">
      <alignment horizontal="center"/>
    </xf>
    <xf numFmtId="0" fontId="23" fillId="0" borderId="131" xfId="7" applyFont="1" applyBorder="1" applyAlignment="1">
      <alignment horizontal="center"/>
    </xf>
    <xf numFmtId="0" fontId="23" fillId="0" borderId="132" xfId="7" applyFont="1" applyBorder="1" applyAlignment="1">
      <alignment horizontal="center"/>
    </xf>
    <xf numFmtId="0" fontId="23" fillId="0" borderId="133" xfId="7" applyFont="1" applyBorder="1" applyAlignment="1">
      <alignment horizontal="center"/>
    </xf>
    <xf numFmtId="0" fontId="34" fillId="0" borderId="0" xfId="7" applyFont="1" applyAlignment="1">
      <alignment horizontal="left" wrapText="1"/>
    </xf>
    <xf numFmtId="169" fontId="29" fillId="0" borderId="0" xfId="4" applyFont="1" applyAlignment="1">
      <alignment horizontal="left" wrapText="1"/>
    </xf>
    <xf numFmtId="0" fontId="31" fillId="0" borderId="0" xfId="7" applyFont="1" applyAlignment="1">
      <alignment horizontal="center"/>
    </xf>
    <xf numFmtId="0" fontId="11" fillId="2" borderId="49" xfId="1" applyFont="1" applyFill="1" applyBorder="1" applyAlignment="1" applyProtection="1">
      <alignment horizontal="left" wrapText="1"/>
    </xf>
    <xf numFmtId="0" fontId="11" fillId="2" borderId="3" xfId="1" applyFont="1" applyFill="1" applyBorder="1" applyAlignment="1" applyProtection="1">
      <alignment horizontal="left" wrapText="1"/>
    </xf>
    <xf numFmtId="0" fontId="11" fillId="2" borderId="4" xfId="1" applyFont="1" applyFill="1" applyBorder="1" applyAlignment="1" applyProtection="1">
      <alignment horizontal="left" wrapText="1"/>
    </xf>
  </cellXfs>
  <cellStyles count="8">
    <cellStyle name="Comma 2" xfId="2"/>
    <cellStyle name="Normal" xfId="0" builtinId="0"/>
    <cellStyle name="Normal 2" xfId="1"/>
    <cellStyle name="Normal 3" xfId="4"/>
    <cellStyle name="Normal_CMPFUG" xfId="5"/>
    <cellStyle name="Normal_FHC Control Factors (ver 2.0) " xfId="6"/>
    <cellStyle name="Normal_TABLE_2" xfId="7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.1.X%20Example%20Form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\Groups\ENGR\WP\oil&amp;gas\Exxon%20-%20SYU%20Project\Permit-Renewals\Pt70-Permits-Calcs-2003\Calcs%202003%20Renewal\HAR%20PTO%2010183%20Calc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\Groups\GROUP\ENGR\LIBRARY\SOFTWARE\TANK-2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\Groups\GROUP\ENGR\LIBRARY\SOFTWARE\DRAFT\TANK-2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.1.1"/>
      <sheetName val="9.1.2"/>
      <sheetName val="9.1.3"/>
      <sheetName val="9.1.4"/>
      <sheetName val="9.1.5"/>
      <sheetName val="9.1.6"/>
      <sheetName val="9.1.7"/>
      <sheetName val="9.1.8"/>
      <sheetName val="9.1.9a FHC CLP Emissions"/>
      <sheetName val="9.1.9b FHC Emission Factors"/>
      <sheetName val="9.1.9c FHC Control Fact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C15" t="str">
            <v>x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EF"/>
      <sheetName val="Short-Term"/>
      <sheetName val="Long-Term"/>
      <sheetName val="Total"/>
      <sheetName val="Federal PTE"/>
      <sheetName val="Exempt"/>
      <sheetName val="Variables"/>
      <sheetName val="Fuel Use Limits"/>
      <sheetName val="NEI-PTE Incre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6">
          <cell r="C6">
            <v>2524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NK-2A"/>
    </sheetNames>
    <definedNames>
      <definedName name="Module2.printsheet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NK-2B"/>
    </sheetNames>
    <definedNames>
      <definedName name="Module2.printsheet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8"/>
  <sheetViews>
    <sheetView tabSelected="1" zoomScaleNormal="100" workbookViewId="0">
      <selection activeCell="L15" sqref="L15"/>
    </sheetView>
  </sheetViews>
  <sheetFormatPr defaultRowHeight="15"/>
  <cols>
    <col min="1" max="1" width="4" customWidth="1"/>
    <col min="2" max="2" width="9.28515625" customWidth="1"/>
    <col min="3" max="3" width="7.42578125" bestFit="1" customWidth="1"/>
    <col min="4" max="4" width="17.85546875" customWidth="1"/>
    <col min="5" max="5" width="13.5703125" bestFit="1" customWidth="1"/>
    <col min="6" max="6" width="12.28515625" customWidth="1"/>
    <col min="7" max="7" width="14.140625" customWidth="1"/>
    <col min="8" max="8" width="46.7109375" bestFit="1" customWidth="1"/>
    <col min="9" max="9" width="10" bestFit="1" customWidth="1"/>
  </cols>
  <sheetData>
    <row r="3" spans="2:8">
      <c r="B3" t="s">
        <v>41</v>
      </c>
    </row>
    <row r="4" spans="2:8" ht="15.75">
      <c r="B4" s="66" t="s">
        <v>293</v>
      </c>
      <c r="C4" s="66"/>
    </row>
    <row r="5" spans="2:8" ht="16.5" thickBot="1">
      <c r="B5" s="66"/>
    </row>
    <row r="6" spans="2:8" ht="60">
      <c r="B6" s="67" t="s">
        <v>90</v>
      </c>
      <c r="C6" s="70" t="s">
        <v>91</v>
      </c>
      <c r="D6" s="143" t="s">
        <v>89</v>
      </c>
      <c r="E6" s="242" t="s">
        <v>246</v>
      </c>
      <c r="F6" s="242" t="s">
        <v>247</v>
      </c>
      <c r="G6" s="243" t="s">
        <v>249</v>
      </c>
      <c r="H6" s="144" t="s">
        <v>133</v>
      </c>
    </row>
    <row r="7" spans="2:8">
      <c r="B7" s="73" t="s">
        <v>134</v>
      </c>
      <c r="C7" s="74">
        <v>12346</v>
      </c>
      <c r="D7" s="74" t="s">
        <v>392</v>
      </c>
      <c r="E7" s="244">
        <v>1</v>
      </c>
      <c r="F7" s="244"/>
      <c r="G7" s="239">
        <v>31168</v>
      </c>
      <c r="H7" s="145" t="s">
        <v>143</v>
      </c>
    </row>
    <row r="8" spans="2:8" ht="32.25" customHeight="1" thickBot="1">
      <c r="B8" s="68"/>
      <c r="C8" s="69"/>
      <c r="D8" s="247" t="s">
        <v>278</v>
      </c>
      <c r="E8" s="246"/>
      <c r="F8" s="245" t="s">
        <v>248</v>
      </c>
      <c r="G8" s="240">
        <v>41278</v>
      </c>
      <c r="H8" s="146" t="s">
        <v>280</v>
      </c>
    </row>
  </sheetData>
  <pageMargins left="0.7" right="0.7" top="0.75" bottom="0.75" header="0.3" footer="0.3"/>
  <pageSetup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5"/>
  <sheetViews>
    <sheetView zoomScaleNormal="100" workbookViewId="0">
      <selection activeCell="F29" sqref="F29"/>
    </sheetView>
  </sheetViews>
  <sheetFormatPr defaultRowHeight="15"/>
  <cols>
    <col min="1" max="1" width="4.85546875" style="546" customWidth="1"/>
    <col min="2" max="16384" width="9.140625" style="546"/>
  </cols>
  <sheetData>
    <row r="3" spans="2:11">
      <c r="B3" s="546" t="s">
        <v>414</v>
      </c>
      <c r="C3" s="546" t="s">
        <v>412</v>
      </c>
    </row>
    <row r="5" spans="2:11" ht="31.5" customHeight="1">
      <c r="B5" s="558" t="s">
        <v>413</v>
      </c>
      <c r="C5" s="558"/>
      <c r="D5" s="558"/>
      <c r="E5" s="558"/>
      <c r="F5" s="558"/>
      <c r="G5" s="558"/>
      <c r="H5" s="558"/>
      <c r="I5" s="558"/>
      <c r="J5" s="558"/>
      <c r="K5" s="558"/>
    </row>
  </sheetData>
  <mergeCells count="1">
    <mergeCell ref="B5:K5"/>
  </mergeCells>
  <pageMargins left="0.7" right="0.7" top="0.75" bottom="0.75" header="0.3" footer="0.3"/>
  <pageSetup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70"/>
  <sheetViews>
    <sheetView showGridLines="0" topLeftCell="A16" zoomScale="75" zoomScaleNormal="75" workbookViewId="0">
      <selection activeCell="D48" sqref="D48"/>
    </sheetView>
  </sheetViews>
  <sheetFormatPr defaultRowHeight="15"/>
  <cols>
    <col min="1" max="1" width="4.5703125" style="248" customWidth="1"/>
    <col min="2" max="2" width="10.7109375" style="248" bestFit="1" customWidth="1"/>
    <col min="3" max="3" width="14.42578125" style="248" bestFit="1" customWidth="1"/>
    <col min="4" max="4" width="6" style="248" bestFit="1" customWidth="1"/>
    <col min="5" max="5" width="32.42578125" style="248" customWidth="1"/>
    <col min="6" max="6" width="45.5703125" style="248" customWidth="1"/>
    <col min="7" max="7" width="37.42578125" style="248" bestFit="1" customWidth="1"/>
    <col min="8" max="8" width="11.5703125" style="248" bestFit="1" customWidth="1"/>
    <col min="9" max="9" width="11.42578125" style="248" bestFit="1" customWidth="1"/>
    <col min="10" max="10" width="7.7109375" style="248" bestFit="1" customWidth="1"/>
    <col min="11" max="11" width="8.7109375" style="248" bestFit="1" customWidth="1"/>
    <col min="12" max="12" width="11.42578125" style="248" bestFit="1" customWidth="1"/>
    <col min="13" max="13" width="3.5703125" style="249" bestFit="1" customWidth="1"/>
    <col min="14" max="14" width="3.7109375" style="248" bestFit="1" customWidth="1"/>
    <col min="15" max="15" width="4.7109375" style="248" bestFit="1" customWidth="1"/>
    <col min="16" max="16" width="3.28515625" style="249" bestFit="1" customWidth="1"/>
    <col min="17" max="17" width="4" style="248" bestFit="1" customWidth="1"/>
    <col min="18" max="18" width="4.7109375" style="249" bestFit="1" customWidth="1"/>
    <col min="19" max="19" width="3.7109375" style="248" customWidth="1"/>
    <col min="20" max="20" width="5.7109375" style="249" bestFit="1" customWidth="1"/>
    <col min="21" max="21" width="4.140625" style="249" bestFit="1" customWidth="1"/>
    <col min="22" max="22" width="3.7109375" style="249" bestFit="1" customWidth="1"/>
    <col min="23" max="24" width="3.5703125" style="248" bestFit="1" customWidth="1"/>
    <col min="25" max="25" width="5.42578125" style="249" bestFit="1" customWidth="1"/>
    <col min="26" max="26" width="3.85546875" style="248" customWidth="1"/>
    <col min="27" max="27" width="9.7109375" style="248" bestFit="1" customWidth="1"/>
    <col min="28" max="28" width="28.5703125" style="248" bestFit="1" customWidth="1"/>
    <col min="29" max="29" width="13" style="248" customWidth="1"/>
    <col min="30" max="16384" width="9.140625" style="248"/>
  </cols>
  <sheetData>
    <row r="2" spans="2:28">
      <c r="B2" s="248" t="s">
        <v>41</v>
      </c>
    </row>
    <row r="3" spans="2:28" ht="15.75" thickBot="1">
      <c r="I3" s="250"/>
      <c r="J3" s="250"/>
      <c r="K3" s="250"/>
      <c r="L3" s="250"/>
    </row>
    <row r="4" spans="2:28">
      <c r="B4" s="251" t="s">
        <v>135</v>
      </c>
      <c r="C4" s="252"/>
      <c r="D4" s="252"/>
      <c r="E4" s="253" t="s">
        <v>136</v>
      </c>
      <c r="F4" s="254" t="s">
        <v>145</v>
      </c>
      <c r="G4" s="255">
        <v>41273</v>
      </c>
      <c r="H4" s="256"/>
      <c r="I4" s="252"/>
      <c r="J4" s="257"/>
      <c r="K4" s="254"/>
      <c r="L4" s="559" t="s">
        <v>250</v>
      </c>
      <c r="M4" s="560"/>
      <c r="N4" s="560"/>
      <c r="O4" s="560"/>
      <c r="P4" s="560"/>
      <c r="Q4" s="560"/>
      <c r="R4" s="561"/>
      <c r="S4" s="560" t="s">
        <v>251</v>
      </c>
      <c r="T4" s="560"/>
      <c r="U4" s="560"/>
      <c r="V4" s="560"/>
      <c r="W4" s="560"/>
      <c r="X4" s="560"/>
      <c r="Y4" s="561"/>
      <c r="AA4" s="258" t="s">
        <v>252</v>
      </c>
      <c r="AB4" s="259" t="s">
        <v>253</v>
      </c>
    </row>
    <row r="5" spans="2:28" ht="15.75" thickBot="1">
      <c r="B5" s="260" t="s">
        <v>269</v>
      </c>
      <c r="C5" s="261" t="s">
        <v>254</v>
      </c>
      <c r="D5" s="261" t="s">
        <v>255</v>
      </c>
      <c r="E5" s="261" t="s">
        <v>20</v>
      </c>
      <c r="F5" s="261" t="s">
        <v>21</v>
      </c>
      <c r="G5" s="261" t="s">
        <v>22</v>
      </c>
      <c r="H5" s="261" t="s">
        <v>23</v>
      </c>
      <c r="I5" s="261" t="s">
        <v>24</v>
      </c>
      <c r="J5" s="261" t="s">
        <v>256</v>
      </c>
      <c r="K5" s="262" t="s">
        <v>257</v>
      </c>
      <c r="L5" s="263" t="s">
        <v>97</v>
      </c>
      <c r="M5" s="261" t="s">
        <v>87</v>
      </c>
      <c r="N5" s="261" t="s">
        <v>86</v>
      </c>
      <c r="O5" s="261" t="s">
        <v>42</v>
      </c>
      <c r="P5" s="261" t="s">
        <v>46</v>
      </c>
      <c r="Q5" s="261" t="s">
        <v>69</v>
      </c>
      <c r="R5" s="264" t="s">
        <v>85</v>
      </c>
      <c r="S5" s="265" t="s">
        <v>84</v>
      </c>
      <c r="T5" s="261" t="s">
        <v>83</v>
      </c>
      <c r="U5" s="261" t="s">
        <v>82</v>
      </c>
      <c r="V5" s="261" t="s">
        <v>81</v>
      </c>
      <c r="W5" s="261" t="s">
        <v>80</v>
      </c>
      <c r="X5" s="261" t="s">
        <v>79</v>
      </c>
      <c r="Y5" s="264" t="s">
        <v>103</v>
      </c>
      <c r="AA5" s="503" t="s">
        <v>87</v>
      </c>
      <c r="AB5" s="508" t="s">
        <v>11</v>
      </c>
    </row>
    <row r="6" spans="2:28">
      <c r="B6" s="267">
        <v>11671.1</v>
      </c>
      <c r="C6" s="268" t="s">
        <v>50</v>
      </c>
      <c r="D6" s="268">
        <v>0.5</v>
      </c>
      <c r="E6" s="268" t="s">
        <v>395</v>
      </c>
      <c r="F6" s="268" t="s">
        <v>397</v>
      </c>
      <c r="G6" s="268" t="s">
        <v>60</v>
      </c>
      <c r="H6" s="273" t="s">
        <v>17</v>
      </c>
      <c r="I6" s="273" t="s">
        <v>26</v>
      </c>
      <c r="J6" s="269" t="s">
        <v>258</v>
      </c>
      <c r="K6" s="278" t="s">
        <v>393</v>
      </c>
      <c r="L6" s="537" t="s">
        <v>27</v>
      </c>
      <c r="M6" s="269"/>
      <c r="N6" s="270"/>
      <c r="O6" s="270"/>
      <c r="P6" s="269"/>
      <c r="Q6" s="270"/>
      <c r="R6" s="271"/>
      <c r="S6" s="272">
        <v>0</v>
      </c>
      <c r="T6" s="273">
        <v>0</v>
      </c>
      <c r="U6" s="273">
        <v>1</v>
      </c>
      <c r="V6" s="273">
        <v>0</v>
      </c>
      <c r="W6" s="268">
        <v>0</v>
      </c>
      <c r="X6" s="268">
        <v>0</v>
      </c>
      <c r="Y6" s="274">
        <v>0</v>
      </c>
      <c r="AA6" s="503" t="s">
        <v>86</v>
      </c>
      <c r="AB6" s="508" t="s">
        <v>259</v>
      </c>
    </row>
    <row r="7" spans="2:28">
      <c r="B7" s="275">
        <v>11671.2</v>
      </c>
      <c r="C7" s="276" t="s">
        <v>51</v>
      </c>
      <c r="D7" s="276">
        <v>0.75</v>
      </c>
      <c r="E7" s="268" t="s">
        <v>395</v>
      </c>
      <c r="F7" s="268" t="s">
        <v>397</v>
      </c>
      <c r="G7" s="276" t="s">
        <v>60</v>
      </c>
      <c r="H7" s="282" t="s">
        <v>17</v>
      </c>
      <c r="I7" s="282" t="s">
        <v>26</v>
      </c>
      <c r="J7" s="277" t="s">
        <v>258</v>
      </c>
      <c r="K7" s="278" t="s">
        <v>393</v>
      </c>
      <c r="L7" s="538" t="s">
        <v>27</v>
      </c>
      <c r="M7" s="277"/>
      <c r="N7" s="279"/>
      <c r="O7" s="279"/>
      <c r="P7" s="277"/>
      <c r="Q7" s="279"/>
      <c r="R7" s="280"/>
      <c r="S7" s="281">
        <v>0</v>
      </c>
      <c r="T7" s="282">
        <v>0</v>
      </c>
      <c r="U7" s="282">
        <v>1</v>
      </c>
      <c r="V7" s="282">
        <v>0</v>
      </c>
      <c r="W7" s="276">
        <v>0</v>
      </c>
      <c r="X7" s="276">
        <v>0</v>
      </c>
      <c r="Y7" s="283">
        <v>0</v>
      </c>
      <c r="AA7" s="503" t="s">
        <v>42</v>
      </c>
      <c r="AB7" s="508" t="s">
        <v>260</v>
      </c>
    </row>
    <row r="8" spans="2:28">
      <c r="B8" s="275">
        <v>11671.3</v>
      </c>
      <c r="C8" s="276" t="s">
        <v>25</v>
      </c>
      <c r="D8" s="276">
        <v>2</v>
      </c>
      <c r="E8" s="268" t="s">
        <v>395</v>
      </c>
      <c r="F8" s="268" t="s">
        <v>397</v>
      </c>
      <c r="G8" s="276" t="s">
        <v>56</v>
      </c>
      <c r="H8" s="282" t="s">
        <v>17</v>
      </c>
      <c r="I8" s="282" t="s">
        <v>26</v>
      </c>
      <c r="J8" s="277" t="s">
        <v>258</v>
      </c>
      <c r="K8" s="278" t="s">
        <v>393</v>
      </c>
      <c r="L8" s="538" t="s">
        <v>25</v>
      </c>
      <c r="M8" s="277"/>
      <c r="N8" s="279"/>
      <c r="O8" s="279"/>
      <c r="P8" s="277"/>
      <c r="Q8" s="279"/>
      <c r="R8" s="280"/>
      <c r="S8" s="281">
        <v>1</v>
      </c>
      <c r="T8" s="282">
        <v>1</v>
      </c>
      <c r="U8" s="282">
        <v>2</v>
      </c>
      <c r="V8" s="282">
        <v>0</v>
      </c>
      <c r="W8" s="276">
        <v>0</v>
      </c>
      <c r="X8" s="276">
        <v>0</v>
      </c>
      <c r="Y8" s="283">
        <v>0</v>
      </c>
      <c r="AA8" s="503" t="s">
        <v>46</v>
      </c>
      <c r="AB8" s="508" t="s">
        <v>261</v>
      </c>
    </row>
    <row r="9" spans="2:28">
      <c r="B9" s="275">
        <v>11671.4</v>
      </c>
      <c r="C9" s="276" t="s">
        <v>50</v>
      </c>
      <c r="D9" s="276">
        <v>0.5</v>
      </c>
      <c r="E9" s="268" t="s">
        <v>395</v>
      </c>
      <c r="F9" s="268" t="s">
        <v>397</v>
      </c>
      <c r="G9" s="276" t="s">
        <v>56</v>
      </c>
      <c r="H9" s="282" t="s">
        <v>17</v>
      </c>
      <c r="I9" s="282" t="s">
        <v>26</v>
      </c>
      <c r="J9" s="277" t="s">
        <v>258</v>
      </c>
      <c r="K9" s="278" t="s">
        <v>393</v>
      </c>
      <c r="L9" s="538" t="s">
        <v>27</v>
      </c>
      <c r="M9" s="277"/>
      <c r="N9" s="279"/>
      <c r="O9" s="279"/>
      <c r="P9" s="277"/>
      <c r="Q9" s="279"/>
      <c r="R9" s="280"/>
      <c r="S9" s="281">
        <v>0</v>
      </c>
      <c r="T9" s="282">
        <v>0</v>
      </c>
      <c r="U9" s="282">
        <v>1</v>
      </c>
      <c r="V9" s="282">
        <v>0</v>
      </c>
      <c r="W9" s="276">
        <v>0</v>
      </c>
      <c r="X9" s="276">
        <v>0</v>
      </c>
      <c r="Y9" s="283">
        <v>0</v>
      </c>
      <c r="AA9" s="503" t="s">
        <v>69</v>
      </c>
      <c r="AB9" s="508" t="s">
        <v>262</v>
      </c>
    </row>
    <row r="10" spans="2:28">
      <c r="B10" s="275">
        <v>11671.5</v>
      </c>
      <c r="C10" s="276" t="s">
        <v>47</v>
      </c>
      <c r="D10" s="276">
        <v>0.5</v>
      </c>
      <c r="E10" s="268" t="s">
        <v>395</v>
      </c>
      <c r="F10" s="268" t="s">
        <v>397</v>
      </c>
      <c r="G10" s="276" t="s">
        <v>56</v>
      </c>
      <c r="H10" s="282" t="s">
        <v>17</v>
      </c>
      <c r="I10" s="282" t="s">
        <v>26</v>
      </c>
      <c r="J10" s="277" t="s">
        <v>258</v>
      </c>
      <c r="K10" s="278" t="s">
        <v>393</v>
      </c>
      <c r="L10" s="538" t="s">
        <v>27</v>
      </c>
      <c r="M10" s="277"/>
      <c r="N10" s="279"/>
      <c r="O10" s="279"/>
      <c r="P10" s="277" t="s">
        <v>46</v>
      </c>
      <c r="Q10" s="279"/>
      <c r="R10" s="280"/>
      <c r="S10" s="281">
        <v>0</v>
      </c>
      <c r="T10" s="282">
        <v>0</v>
      </c>
      <c r="U10" s="282">
        <v>0</v>
      </c>
      <c r="V10" s="282">
        <v>0</v>
      </c>
      <c r="W10" s="276">
        <v>0</v>
      </c>
      <c r="X10" s="276">
        <v>0</v>
      </c>
      <c r="Y10" s="283">
        <v>0</v>
      </c>
      <c r="AA10" s="503" t="s">
        <v>85</v>
      </c>
      <c r="AB10" s="508" t="s">
        <v>263</v>
      </c>
    </row>
    <row r="11" spans="2:28">
      <c r="B11" s="275">
        <v>11671.6</v>
      </c>
      <c r="C11" s="276" t="s">
        <v>47</v>
      </c>
      <c r="D11" s="276">
        <v>0.25</v>
      </c>
      <c r="E11" s="268" t="s">
        <v>395</v>
      </c>
      <c r="F11" s="268" t="s">
        <v>397</v>
      </c>
      <c r="G11" s="276" t="s">
        <v>49</v>
      </c>
      <c r="H11" s="282" t="s">
        <v>17</v>
      </c>
      <c r="I11" s="282" t="s">
        <v>26</v>
      </c>
      <c r="J11" s="277" t="s">
        <v>258</v>
      </c>
      <c r="K11" s="278" t="s">
        <v>393</v>
      </c>
      <c r="L11" s="538" t="s">
        <v>27</v>
      </c>
      <c r="M11" s="277"/>
      <c r="N11" s="279"/>
      <c r="O11" s="279"/>
      <c r="P11" s="277" t="s">
        <v>46</v>
      </c>
      <c r="Q11" s="279"/>
      <c r="R11" s="280"/>
      <c r="S11" s="281">
        <v>0</v>
      </c>
      <c r="T11" s="282">
        <v>0</v>
      </c>
      <c r="U11" s="282">
        <v>0</v>
      </c>
      <c r="V11" s="282">
        <v>0</v>
      </c>
      <c r="W11" s="276">
        <v>0</v>
      </c>
      <c r="X11" s="276">
        <v>0</v>
      </c>
      <c r="Y11" s="283">
        <v>0</v>
      </c>
      <c r="AA11" s="503" t="s">
        <v>84</v>
      </c>
      <c r="AB11" s="508" t="s">
        <v>264</v>
      </c>
    </row>
    <row r="12" spans="2:28">
      <c r="B12" s="284">
        <v>11913</v>
      </c>
      <c r="C12" s="276" t="s">
        <v>51</v>
      </c>
      <c r="D12" s="276">
        <v>0.5</v>
      </c>
      <c r="E12" s="268" t="s">
        <v>395</v>
      </c>
      <c r="F12" s="268" t="s">
        <v>397</v>
      </c>
      <c r="G12" s="276" t="s">
        <v>49</v>
      </c>
      <c r="H12" s="282" t="s">
        <v>44</v>
      </c>
      <c r="I12" s="282" t="s">
        <v>43</v>
      </c>
      <c r="J12" s="277" t="s">
        <v>258</v>
      </c>
      <c r="K12" s="278" t="s">
        <v>393</v>
      </c>
      <c r="L12" s="538" t="s">
        <v>27</v>
      </c>
      <c r="M12" s="277"/>
      <c r="N12" s="279" t="s">
        <v>86</v>
      </c>
      <c r="O12" s="279"/>
      <c r="P12" s="277"/>
      <c r="Q12" s="279"/>
      <c r="R12" s="280"/>
      <c r="S12" s="281">
        <v>0</v>
      </c>
      <c r="T12" s="282">
        <v>0</v>
      </c>
      <c r="U12" s="282">
        <v>1</v>
      </c>
      <c r="V12" s="282">
        <v>0</v>
      </c>
      <c r="W12" s="276">
        <v>0</v>
      </c>
      <c r="X12" s="276">
        <v>0</v>
      </c>
      <c r="Y12" s="283">
        <v>0</v>
      </c>
      <c r="AA12" s="503" t="s">
        <v>83</v>
      </c>
      <c r="AB12" s="508" t="s">
        <v>401</v>
      </c>
    </row>
    <row r="13" spans="2:28">
      <c r="B13" s="275">
        <v>11913.1</v>
      </c>
      <c r="C13" s="276" t="s">
        <v>48</v>
      </c>
      <c r="D13" s="276">
        <v>3</v>
      </c>
      <c r="E13" s="268" t="s">
        <v>395</v>
      </c>
      <c r="F13" s="268" t="s">
        <v>397</v>
      </c>
      <c r="G13" s="276" t="s">
        <v>49</v>
      </c>
      <c r="H13" s="282" t="s">
        <v>44</v>
      </c>
      <c r="I13" s="282" t="s">
        <v>43</v>
      </c>
      <c r="J13" s="277" t="s">
        <v>258</v>
      </c>
      <c r="K13" s="278" t="s">
        <v>393</v>
      </c>
      <c r="L13" s="538" t="s">
        <v>27</v>
      </c>
      <c r="M13" s="277"/>
      <c r="N13" s="279"/>
      <c r="O13" s="279"/>
      <c r="P13" s="277"/>
      <c r="Q13" s="279"/>
      <c r="R13" s="280"/>
      <c r="S13" s="281">
        <v>0</v>
      </c>
      <c r="T13" s="282">
        <v>0</v>
      </c>
      <c r="U13" s="282">
        <v>0</v>
      </c>
      <c r="V13" s="282">
        <v>1</v>
      </c>
      <c r="W13" s="276">
        <v>0</v>
      </c>
      <c r="X13" s="276">
        <v>0</v>
      </c>
      <c r="Y13" s="283">
        <v>0</v>
      </c>
      <c r="AA13" s="503" t="s">
        <v>82</v>
      </c>
      <c r="AB13" s="508" t="s">
        <v>402</v>
      </c>
    </row>
    <row r="14" spans="2:28">
      <c r="B14" s="284">
        <v>11913.2</v>
      </c>
      <c r="C14" s="276" t="s">
        <v>25</v>
      </c>
      <c r="D14" s="276">
        <v>3</v>
      </c>
      <c r="E14" s="268" t="s">
        <v>395</v>
      </c>
      <c r="F14" s="268" t="s">
        <v>397</v>
      </c>
      <c r="G14" s="276" t="s">
        <v>62</v>
      </c>
      <c r="H14" s="282" t="s">
        <v>17</v>
      </c>
      <c r="I14" s="282" t="s">
        <v>26</v>
      </c>
      <c r="J14" s="277" t="s">
        <v>258</v>
      </c>
      <c r="K14" s="278" t="s">
        <v>393</v>
      </c>
      <c r="L14" s="538" t="s">
        <v>25</v>
      </c>
      <c r="M14" s="277"/>
      <c r="N14" s="279"/>
      <c r="O14" s="279"/>
      <c r="P14" s="277"/>
      <c r="Q14" s="279"/>
      <c r="R14" s="280"/>
      <c r="S14" s="281">
        <v>1</v>
      </c>
      <c r="T14" s="282">
        <v>1</v>
      </c>
      <c r="U14" s="282">
        <v>0</v>
      </c>
      <c r="V14" s="282">
        <v>2</v>
      </c>
      <c r="W14" s="276">
        <v>0</v>
      </c>
      <c r="X14" s="276">
        <v>0</v>
      </c>
      <c r="Y14" s="283">
        <v>0</v>
      </c>
      <c r="AA14" s="503" t="s">
        <v>81</v>
      </c>
      <c r="AB14" s="508" t="s">
        <v>48</v>
      </c>
    </row>
    <row r="15" spans="2:28">
      <c r="B15" s="275">
        <v>11913.3</v>
      </c>
      <c r="C15" s="276" t="s">
        <v>270</v>
      </c>
      <c r="D15" s="276">
        <v>3</v>
      </c>
      <c r="E15" s="268" t="s">
        <v>395</v>
      </c>
      <c r="F15" s="268" t="s">
        <v>397</v>
      </c>
      <c r="G15" s="276" t="s">
        <v>63</v>
      </c>
      <c r="H15" s="282" t="s">
        <v>17</v>
      </c>
      <c r="I15" s="282" t="s">
        <v>26</v>
      </c>
      <c r="J15" s="277" t="s">
        <v>258</v>
      </c>
      <c r="K15" s="278" t="s">
        <v>393</v>
      </c>
      <c r="L15" s="538" t="s">
        <v>25</v>
      </c>
      <c r="M15" s="277"/>
      <c r="N15" s="279"/>
      <c r="O15" s="279"/>
      <c r="P15" s="277"/>
      <c r="Q15" s="279"/>
      <c r="R15" s="280"/>
      <c r="S15" s="281">
        <v>1</v>
      </c>
      <c r="T15" s="282">
        <v>1</v>
      </c>
      <c r="U15" s="282">
        <v>1</v>
      </c>
      <c r="V15" s="282">
        <v>2</v>
      </c>
      <c r="W15" s="276">
        <v>0</v>
      </c>
      <c r="X15" s="276">
        <v>0</v>
      </c>
      <c r="Y15" s="283">
        <v>0</v>
      </c>
      <c r="AA15" s="503" t="s">
        <v>80</v>
      </c>
      <c r="AB15" s="508" t="s">
        <v>113</v>
      </c>
    </row>
    <row r="16" spans="2:28">
      <c r="B16" s="275">
        <v>11913.4</v>
      </c>
      <c r="C16" s="276" t="s">
        <v>58</v>
      </c>
      <c r="D16" s="276">
        <v>2</v>
      </c>
      <c r="E16" s="268" t="s">
        <v>395</v>
      </c>
      <c r="F16" s="268" t="s">
        <v>397</v>
      </c>
      <c r="G16" s="276" t="s">
        <v>61</v>
      </c>
      <c r="H16" s="282" t="s">
        <v>17</v>
      </c>
      <c r="I16" s="282" t="s">
        <v>26</v>
      </c>
      <c r="J16" s="277" t="s">
        <v>258</v>
      </c>
      <c r="K16" s="278" t="s">
        <v>393</v>
      </c>
      <c r="L16" s="538" t="s">
        <v>27</v>
      </c>
      <c r="M16" s="277"/>
      <c r="N16" s="279"/>
      <c r="O16" s="279"/>
      <c r="P16" s="277"/>
      <c r="Q16" s="279"/>
      <c r="R16" s="280"/>
      <c r="S16" s="281">
        <v>0</v>
      </c>
      <c r="T16" s="282">
        <v>0</v>
      </c>
      <c r="U16" s="282">
        <v>1</v>
      </c>
      <c r="V16" s="282">
        <v>0</v>
      </c>
      <c r="W16" s="276">
        <v>0</v>
      </c>
      <c r="X16" s="276">
        <v>0</v>
      </c>
      <c r="Y16" s="283">
        <v>0</v>
      </c>
      <c r="AA16" s="503" t="s">
        <v>79</v>
      </c>
      <c r="AB16" s="508" t="s">
        <v>114</v>
      </c>
    </row>
    <row r="17" spans="2:28" ht="15.75" thickBot="1">
      <c r="B17" s="284">
        <v>11952</v>
      </c>
      <c r="C17" s="276" t="s">
        <v>25</v>
      </c>
      <c r="D17" s="276">
        <v>8</v>
      </c>
      <c r="E17" s="268" t="s">
        <v>395</v>
      </c>
      <c r="F17" s="276" t="s">
        <v>398</v>
      </c>
      <c r="G17" s="276" t="s">
        <v>66</v>
      </c>
      <c r="H17" s="282" t="s">
        <v>44</v>
      </c>
      <c r="I17" s="282" t="s">
        <v>43</v>
      </c>
      <c r="J17" s="277" t="s">
        <v>258</v>
      </c>
      <c r="K17" s="278" t="s">
        <v>393</v>
      </c>
      <c r="L17" s="538" t="s">
        <v>25</v>
      </c>
      <c r="M17" s="277"/>
      <c r="N17" s="279"/>
      <c r="O17" s="279" t="s">
        <v>42</v>
      </c>
      <c r="P17" s="277"/>
      <c r="Q17" s="279" t="s">
        <v>69</v>
      </c>
      <c r="R17" s="280"/>
      <c r="S17" s="281">
        <v>1</v>
      </c>
      <c r="T17" s="282">
        <v>2</v>
      </c>
      <c r="U17" s="282">
        <v>0</v>
      </c>
      <c r="V17" s="282">
        <v>0</v>
      </c>
      <c r="W17" s="276">
        <v>0</v>
      </c>
      <c r="X17" s="276">
        <v>0</v>
      </c>
      <c r="Y17" s="283">
        <v>0</v>
      </c>
      <c r="AA17" s="504" t="s">
        <v>103</v>
      </c>
      <c r="AB17" s="509" t="s">
        <v>265</v>
      </c>
    </row>
    <row r="18" spans="2:28" ht="15.75" thickBot="1">
      <c r="B18" s="275">
        <v>11952.1</v>
      </c>
      <c r="C18" s="276" t="s">
        <v>25</v>
      </c>
      <c r="D18" s="276">
        <v>2</v>
      </c>
      <c r="E18" s="268" t="s">
        <v>395</v>
      </c>
      <c r="F18" s="276" t="s">
        <v>398</v>
      </c>
      <c r="G18" s="276" t="s">
        <v>68</v>
      </c>
      <c r="H18" s="282" t="s">
        <v>44</v>
      </c>
      <c r="I18" s="282" t="s">
        <v>43</v>
      </c>
      <c r="J18" s="277" t="s">
        <v>258</v>
      </c>
      <c r="K18" s="278" t="s">
        <v>393</v>
      </c>
      <c r="L18" s="538" t="s">
        <v>25</v>
      </c>
      <c r="M18" s="277"/>
      <c r="N18" s="279"/>
      <c r="O18" s="279"/>
      <c r="P18" s="277"/>
      <c r="Q18" s="279"/>
      <c r="R18" s="280"/>
      <c r="S18" s="281">
        <v>1</v>
      </c>
      <c r="T18" s="282">
        <v>2</v>
      </c>
      <c r="U18" s="282">
        <v>0</v>
      </c>
      <c r="V18" s="282">
        <v>0</v>
      </c>
      <c r="W18" s="276">
        <v>0</v>
      </c>
      <c r="X18" s="276">
        <v>0</v>
      </c>
      <c r="Y18" s="283">
        <v>0</v>
      </c>
    </row>
    <row r="19" spans="2:28">
      <c r="B19" s="275">
        <v>11952.2</v>
      </c>
      <c r="C19" s="276" t="s">
        <v>25</v>
      </c>
      <c r="D19" s="276">
        <v>2</v>
      </c>
      <c r="E19" s="268" t="s">
        <v>395</v>
      </c>
      <c r="F19" s="276" t="s">
        <v>398</v>
      </c>
      <c r="G19" s="276" t="s">
        <v>68</v>
      </c>
      <c r="H19" s="282" t="s">
        <v>44</v>
      </c>
      <c r="I19" s="282" t="s">
        <v>43</v>
      </c>
      <c r="J19" s="277" t="s">
        <v>258</v>
      </c>
      <c r="K19" s="278" t="s">
        <v>393</v>
      </c>
      <c r="L19" s="538" t="s">
        <v>25</v>
      </c>
      <c r="M19" s="277"/>
      <c r="N19" s="279"/>
      <c r="O19" s="279"/>
      <c r="P19" s="277"/>
      <c r="Q19" s="279"/>
      <c r="R19" s="280"/>
      <c r="S19" s="281">
        <v>1</v>
      </c>
      <c r="T19" s="282">
        <v>2</v>
      </c>
      <c r="U19" s="282">
        <v>0</v>
      </c>
      <c r="V19" s="282">
        <v>0</v>
      </c>
      <c r="W19" s="276">
        <v>0</v>
      </c>
      <c r="X19" s="276">
        <v>0</v>
      </c>
      <c r="Y19" s="283">
        <v>0</v>
      </c>
      <c r="AA19" s="505" t="s">
        <v>252</v>
      </c>
      <c r="AB19" s="510" t="s">
        <v>404</v>
      </c>
    </row>
    <row r="20" spans="2:28">
      <c r="B20" s="275">
        <v>11952.3</v>
      </c>
      <c r="C20" s="276" t="s">
        <v>25</v>
      </c>
      <c r="D20" s="276">
        <v>2</v>
      </c>
      <c r="E20" s="268" t="s">
        <v>395</v>
      </c>
      <c r="F20" s="276" t="s">
        <v>398</v>
      </c>
      <c r="G20" s="276" t="s">
        <v>67</v>
      </c>
      <c r="H20" s="282" t="s">
        <v>44</v>
      </c>
      <c r="I20" s="282" t="s">
        <v>43</v>
      </c>
      <c r="J20" s="277" t="s">
        <v>258</v>
      </c>
      <c r="K20" s="278" t="s">
        <v>393</v>
      </c>
      <c r="L20" s="538" t="s">
        <v>25</v>
      </c>
      <c r="M20" s="277"/>
      <c r="N20" s="279"/>
      <c r="O20" s="279"/>
      <c r="P20" s="277"/>
      <c r="Q20" s="279"/>
      <c r="R20" s="280"/>
      <c r="S20" s="281">
        <v>1</v>
      </c>
      <c r="T20" s="282">
        <v>2</v>
      </c>
      <c r="U20" s="282">
        <v>0</v>
      </c>
      <c r="V20" s="282">
        <v>0</v>
      </c>
      <c r="W20" s="276">
        <v>0</v>
      </c>
      <c r="X20" s="276">
        <v>0</v>
      </c>
      <c r="Y20" s="283">
        <v>0</v>
      </c>
      <c r="AA20" s="506" t="s">
        <v>3</v>
      </c>
      <c r="AB20" s="511">
        <f>COUNTIF(L6:L54,"Valve")</f>
        <v>14</v>
      </c>
    </row>
    <row r="21" spans="2:28">
      <c r="B21" s="275">
        <v>11952.4</v>
      </c>
      <c r="C21" s="276" t="s">
        <v>54</v>
      </c>
      <c r="D21" s="276">
        <v>0.5</v>
      </c>
      <c r="E21" s="268" t="s">
        <v>395</v>
      </c>
      <c r="F21" s="276" t="s">
        <v>398</v>
      </c>
      <c r="G21" s="276" t="s">
        <v>70</v>
      </c>
      <c r="H21" s="282" t="s">
        <v>44</v>
      </c>
      <c r="I21" s="282" t="s">
        <v>43</v>
      </c>
      <c r="J21" s="277" t="s">
        <v>258</v>
      </c>
      <c r="K21" s="278" t="s">
        <v>393</v>
      </c>
      <c r="L21" s="538" t="s">
        <v>27</v>
      </c>
      <c r="M21" s="277"/>
      <c r="N21" s="279"/>
      <c r="O21" s="279"/>
      <c r="P21" s="277"/>
      <c r="Q21" s="279"/>
      <c r="R21" s="280"/>
      <c r="S21" s="281">
        <v>0</v>
      </c>
      <c r="T21" s="282">
        <v>0</v>
      </c>
      <c r="U21" s="282">
        <v>1</v>
      </c>
      <c r="V21" s="282">
        <v>0</v>
      </c>
      <c r="W21" s="276">
        <v>0</v>
      </c>
      <c r="X21" s="276">
        <v>0</v>
      </c>
      <c r="Y21" s="283">
        <v>0</v>
      </c>
      <c r="AA21" s="503" t="s">
        <v>27</v>
      </c>
      <c r="AB21" s="512">
        <f>COUNTIF(L6:L54,"Other")</f>
        <v>34</v>
      </c>
    </row>
    <row r="22" spans="2:28">
      <c r="B22" s="275">
        <v>11952.5</v>
      </c>
      <c r="C22" s="276" t="s">
        <v>25</v>
      </c>
      <c r="D22" s="276">
        <v>2</v>
      </c>
      <c r="E22" s="268" t="s">
        <v>395</v>
      </c>
      <c r="F22" s="276" t="s">
        <v>398</v>
      </c>
      <c r="G22" s="276" t="s">
        <v>70</v>
      </c>
      <c r="H22" s="282" t="s">
        <v>44</v>
      </c>
      <c r="I22" s="282" t="s">
        <v>43</v>
      </c>
      <c r="J22" s="277" t="s">
        <v>258</v>
      </c>
      <c r="K22" s="278" t="s">
        <v>393</v>
      </c>
      <c r="L22" s="538" t="s">
        <v>25</v>
      </c>
      <c r="M22" s="277"/>
      <c r="N22" s="279"/>
      <c r="O22" s="279"/>
      <c r="P22" s="277"/>
      <c r="Q22" s="279"/>
      <c r="R22" s="280"/>
      <c r="S22" s="281">
        <v>1</v>
      </c>
      <c r="T22" s="282">
        <v>3</v>
      </c>
      <c r="U22" s="282">
        <v>0</v>
      </c>
      <c r="V22" s="282">
        <v>0</v>
      </c>
      <c r="W22" s="276">
        <v>0</v>
      </c>
      <c r="X22" s="276">
        <v>0</v>
      </c>
      <c r="Y22" s="283">
        <v>0</v>
      </c>
      <c r="AA22" s="503" t="s">
        <v>79</v>
      </c>
      <c r="AB22" s="512">
        <f>COUNTIF(L6:L54,"Pump seal")</f>
        <v>0</v>
      </c>
    </row>
    <row r="23" spans="2:28">
      <c r="B23" s="275">
        <v>11952.6</v>
      </c>
      <c r="C23" s="276" t="s">
        <v>50</v>
      </c>
      <c r="D23" s="276">
        <v>0.75</v>
      </c>
      <c r="E23" s="268" t="s">
        <v>395</v>
      </c>
      <c r="F23" s="276" t="s">
        <v>398</v>
      </c>
      <c r="G23" s="276" t="s">
        <v>70</v>
      </c>
      <c r="H23" s="282" t="s">
        <v>44</v>
      </c>
      <c r="I23" s="282" t="s">
        <v>43</v>
      </c>
      <c r="J23" s="277" t="s">
        <v>258</v>
      </c>
      <c r="K23" s="278" t="s">
        <v>393</v>
      </c>
      <c r="L23" s="538" t="s">
        <v>27</v>
      </c>
      <c r="M23" s="277"/>
      <c r="N23" s="279"/>
      <c r="O23" s="279"/>
      <c r="P23" s="277"/>
      <c r="Q23" s="279"/>
      <c r="R23" s="280"/>
      <c r="S23" s="281">
        <v>0</v>
      </c>
      <c r="T23" s="282">
        <v>0</v>
      </c>
      <c r="U23" s="282">
        <v>2</v>
      </c>
      <c r="V23" s="282">
        <v>0</v>
      </c>
      <c r="W23" s="276">
        <v>0</v>
      </c>
      <c r="X23" s="276">
        <v>0</v>
      </c>
      <c r="Y23" s="283">
        <v>0</v>
      </c>
      <c r="AA23" s="503" t="s">
        <v>5</v>
      </c>
      <c r="AB23" s="512">
        <f>COUNTIF(L6:L54,"PRD")</f>
        <v>1</v>
      </c>
    </row>
    <row r="24" spans="2:28" ht="15.75" thickBot="1">
      <c r="B24" s="275">
        <v>11952.7</v>
      </c>
      <c r="C24" s="276" t="s">
        <v>25</v>
      </c>
      <c r="D24" s="276">
        <v>0.5</v>
      </c>
      <c r="E24" s="268" t="s">
        <v>395</v>
      </c>
      <c r="F24" s="276" t="s">
        <v>398</v>
      </c>
      <c r="G24" s="276" t="s">
        <v>70</v>
      </c>
      <c r="H24" s="282" t="s">
        <v>44</v>
      </c>
      <c r="I24" s="282" t="s">
        <v>43</v>
      </c>
      <c r="J24" s="277" t="s">
        <v>258</v>
      </c>
      <c r="K24" s="278" t="s">
        <v>393</v>
      </c>
      <c r="L24" s="538" t="s">
        <v>25</v>
      </c>
      <c r="M24" s="277"/>
      <c r="N24" s="279"/>
      <c r="O24" s="279"/>
      <c r="P24" s="277"/>
      <c r="Q24" s="279"/>
      <c r="R24" s="280"/>
      <c r="S24" s="281">
        <v>1</v>
      </c>
      <c r="T24" s="282">
        <v>1</v>
      </c>
      <c r="U24" s="282">
        <v>2</v>
      </c>
      <c r="V24" s="282">
        <v>0</v>
      </c>
      <c r="W24" s="276">
        <v>0</v>
      </c>
      <c r="X24" s="276">
        <v>0</v>
      </c>
      <c r="Y24" s="283">
        <v>0</v>
      </c>
      <c r="AA24" s="504" t="s">
        <v>80</v>
      </c>
      <c r="AB24" s="513">
        <f>COUNTIF(L6:L54,"Comp seal")</f>
        <v>0</v>
      </c>
    </row>
    <row r="25" spans="2:28" ht="15.75" thickBot="1">
      <c r="B25" s="275">
        <v>11952.8</v>
      </c>
      <c r="C25" s="276" t="s">
        <v>47</v>
      </c>
      <c r="D25" s="276">
        <v>0.38250000000000001</v>
      </c>
      <c r="E25" s="268" t="s">
        <v>395</v>
      </c>
      <c r="F25" s="276" t="s">
        <v>398</v>
      </c>
      <c r="G25" s="276" t="s">
        <v>70</v>
      </c>
      <c r="H25" s="282" t="s">
        <v>44</v>
      </c>
      <c r="I25" s="282" t="s">
        <v>43</v>
      </c>
      <c r="J25" s="277" t="s">
        <v>258</v>
      </c>
      <c r="K25" s="278" t="s">
        <v>393</v>
      </c>
      <c r="L25" s="538" t="s">
        <v>27</v>
      </c>
      <c r="M25" s="277"/>
      <c r="N25" s="279"/>
      <c r="O25" s="279"/>
      <c r="P25" s="277" t="s">
        <v>46</v>
      </c>
      <c r="Q25" s="279"/>
      <c r="R25" s="280"/>
      <c r="S25" s="281">
        <v>0</v>
      </c>
      <c r="T25" s="282">
        <v>0</v>
      </c>
      <c r="U25" s="282">
        <v>0</v>
      </c>
      <c r="V25" s="282">
        <v>0</v>
      </c>
      <c r="W25" s="276">
        <v>0</v>
      </c>
      <c r="X25" s="276">
        <v>0</v>
      </c>
      <c r="Y25" s="283">
        <v>0</v>
      </c>
      <c r="AB25" s="301"/>
    </row>
    <row r="26" spans="2:28">
      <c r="B26" s="275">
        <v>11988.1</v>
      </c>
      <c r="C26" s="276" t="s">
        <v>45</v>
      </c>
      <c r="D26" s="276">
        <v>0.5</v>
      </c>
      <c r="E26" s="276" t="s">
        <v>396</v>
      </c>
      <c r="F26" s="276" t="s">
        <v>271</v>
      </c>
      <c r="G26" s="276" t="s">
        <v>71</v>
      </c>
      <c r="H26" s="282" t="s">
        <v>17</v>
      </c>
      <c r="I26" s="282" t="s">
        <v>26</v>
      </c>
      <c r="J26" s="277" t="s">
        <v>258</v>
      </c>
      <c r="K26" s="278" t="s">
        <v>393</v>
      </c>
      <c r="L26" s="538" t="s">
        <v>27</v>
      </c>
      <c r="M26" s="277"/>
      <c r="N26" s="279"/>
      <c r="O26" s="279"/>
      <c r="P26" s="277"/>
      <c r="Q26" s="279"/>
      <c r="R26" s="280"/>
      <c r="S26" s="281">
        <v>0</v>
      </c>
      <c r="T26" s="282">
        <v>0</v>
      </c>
      <c r="U26" s="282">
        <v>1</v>
      </c>
      <c r="V26" s="282">
        <v>0</v>
      </c>
      <c r="W26" s="276">
        <v>0</v>
      </c>
      <c r="X26" s="276">
        <v>0</v>
      </c>
      <c r="Y26" s="283">
        <v>0</v>
      </c>
      <c r="AA26" s="507" t="s">
        <v>252</v>
      </c>
      <c r="AB26" s="510" t="s">
        <v>405</v>
      </c>
    </row>
    <row r="27" spans="2:28">
      <c r="B27" s="275">
        <v>11988.2</v>
      </c>
      <c r="C27" s="276" t="s">
        <v>57</v>
      </c>
      <c r="D27" s="276">
        <v>0.75</v>
      </c>
      <c r="E27" s="276" t="s">
        <v>396</v>
      </c>
      <c r="F27" s="276" t="s">
        <v>271</v>
      </c>
      <c r="G27" s="276" t="s">
        <v>71</v>
      </c>
      <c r="H27" s="282" t="s">
        <v>17</v>
      </c>
      <c r="I27" s="282" t="s">
        <v>26</v>
      </c>
      <c r="J27" s="277" t="s">
        <v>258</v>
      </c>
      <c r="K27" s="278" t="s">
        <v>393</v>
      </c>
      <c r="L27" s="538" t="s">
        <v>27</v>
      </c>
      <c r="M27" s="277"/>
      <c r="N27" s="279"/>
      <c r="O27" s="279"/>
      <c r="P27" s="277"/>
      <c r="Q27" s="279"/>
      <c r="R27" s="280"/>
      <c r="S27" s="281">
        <v>0</v>
      </c>
      <c r="T27" s="282">
        <v>0</v>
      </c>
      <c r="U27" s="282">
        <v>1</v>
      </c>
      <c r="V27" s="282">
        <v>0</v>
      </c>
      <c r="W27" s="276">
        <v>0</v>
      </c>
      <c r="X27" s="276">
        <v>0</v>
      </c>
      <c r="Y27" s="283">
        <v>0</v>
      </c>
      <c r="AA27" s="506" t="s">
        <v>3</v>
      </c>
      <c r="AB27" s="511">
        <f>COUNTIF(L55:L63,"Valve")</f>
        <v>2</v>
      </c>
    </row>
    <row r="28" spans="2:28">
      <c r="B28" s="275">
        <v>11988.3</v>
      </c>
      <c r="C28" s="276" t="s">
        <v>45</v>
      </c>
      <c r="D28" s="276">
        <v>2</v>
      </c>
      <c r="E28" s="276" t="s">
        <v>396</v>
      </c>
      <c r="F28" s="276" t="s">
        <v>271</v>
      </c>
      <c r="G28" s="276" t="s">
        <v>71</v>
      </c>
      <c r="H28" s="282" t="s">
        <v>17</v>
      </c>
      <c r="I28" s="282" t="s">
        <v>26</v>
      </c>
      <c r="J28" s="277" t="s">
        <v>258</v>
      </c>
      <c r="K28" s="278" t="s">
        <v>393</v>
      </c>
      <c r="L28" s="538" t="s">
        <v>25</v>
      </c>
      <c r="M28" s="277"/>
      <c r="N28" s="279"/>
      <c r="O28" s="279"/>
      <c r="P28" s="277"/>
      <c r="Q28" s="279"/>
      <c r="R28" s="280"/>
      <c r="S28" s="281">
        <v>1</v>
      </c>
      <c r="T28" s="282">
        <v>1</v>
      </c>
      <c r="U28" s="282">
        <v>0</v>
      </c>
      <c r="V28" s="282">
        <v>2</v>
      </c>
      <c r="W28" s="276">
        <v>0</v>
      </c>
      <c r="X28" s="276">
        <v>0</v>
      </c>
      <c r="Y28" s="283">
        <v>0</v>
      </c>
      <c r="AA28" s="503" t="s">
        <v>27</v>
      </c>
      <c r="AB28" s="512">
        <f>COUNTIF(L55:L63,"Other")</f>
        <v>6</v>
      </c>
    </row>
    <row r="29" spans="2:28">
      <c r="B29" s="275">
        <v>11988.4</v>
      </c>
      <c r="C29" s="276" t="s">
        <v>57</v>
      </c>
      <c r="D29" s="276">
        <v>0.75</v>
      </c>
      <c r="E29" s="276" t="s">
        <v>396</v>
      </c>
      <c r="F29" s="276" t="s">
        <v>271</v>
      </c>
      <c r="G29" s="276" t="s">
        <v>71</v>
      </c>
      <c r="H29" s="282" t="s">
        <v>17</v>
      </c>
      <c r="I29" s="282" t="s">
        <v>26</v>
      </c>
      <c r="J29" s="277" t="s">
        <v>258</v>
      </c>
      <c r="K29" s="278" t="s">
        <v>393</v>
      </c>
      <c r="L29" s="538" t="s">
        <v>27</v>
      </c>
      <c r="M29" s="277"/>
      <c r="N29" s="279"/>
      <c r="O29" s="279"/>
      <c r="P29" s="277"/>
      <c r="Q29" s="279"/>
      <c r="R29" s="280"/>
      <c r="S29" s="281">
        <v>0</v>
      </c>
      <c r="T29" s="282">
        <v>0</v>
      </c>
      <c r="U29" s="282">
        <v>1</v>
      </c>
      <c r="V29" s="282">
        <v>0</v>
      </c>
      <c r="W29" s="276">
        <v>0</v>
      </c>
      <c r="X29" s="276">
        <v>0</v>
      </c>
      <c r="Y29" s="283">
        <v>0</v>
      </c>
      <c r="AA29" s="503" t="s">
        <v>79</v>
      </c>
      <c r="AB29" s="512">
        <f>COUNTIF(L55:L63,"Pump seal")</f>
        <v>1</v>
      </c>
    </row>
    <row r="30" spans="2:28">
      <c r="B30" s="275">
        <v>11988.5</v>
      </c>
      <c r="C30" s="276" t="s">
        <v>48</v>
      </c>
      <c r="D30" s="276">
        <v>4</v>
      </c>
      <c r="E30" s="276" t="s">
        <v>396</v>
      </c>
      <c r="F30" s="276" t="s">
        <v>272</v>
      </c>
      <c r="G30" s="276" t="s">
        <v>76</v>
      </c>
      <c r="H30" s="282" t="s">
        <v>17</v>
      </c>
      <c r="I30" s="282" t="s">
        <v>26</v>
      </c>
      <c r="J30" s="277" t="s">
        <v>258</v>
      </c>
      <c r="K30" s="278" t="s">
        <v>393</v>
      </c>
      <c r="L30" s="538" t="s">
        <v>27</v>
      </c>
      <c r="M30" s="277"/>
      <c r="N30" s="279"/>
      <c r="O30" s="279"/>
      <c r="P30" s="277"/>
      <c r="Q30" s="279"/>
      <c r="R30" s="280"/>
      <c r="S30" s="281">
        <v>0</v>
      </c>
      <c r="T30" s="282">
        <v>0</v>
      </c>
      <c r="U30" s="282">
        <v>0</v>
      </c>
      <c r="V30" s="282">
        <v>1</v>
      </c>
      <c r="W30" s="276">
        <v>0</v>
      </c>
      <c r="X30" s="276">
        <v>0</v>
      </c>
      <c r="Y30" s="283">
        <v>0</v>
      </c>
      <c r="AA30" s="503" t="s">
        <v>5</v>
      </c>
      <c r="AB30" s="512">
        <f>COUNTIF(L55:L63,"PRD")</f>
        <v>0</v>
      </c>
    </row>
    <row r="31" spans="2:28" ht="15.75" thickBot="1">
      <c r="B31" s="275">
        <v>11988.6</v>
      </c>
      <c r="C31" s="276" t="s">
        <v>45</v>
      </c>
      <c r="D31" s="276">
        <v>1</v>
      </c>
      <c r="E31" s="276" t="s">
        <v>396</v>
      </c>
      <c r="F31" s="276" t="s">
        <v>272</v>
      </c>
      <c r="G31" s="276" t="s">
        <v>76</v>
      </c>
      <c r="H31" s="282" t="s">
        <v>17</v>
      </c>
      <c r="I31" s="282" t="s">
        <v>26</v>
      </c>
      <c r="J31" s="277" t="s">
        <v>258</v>
      </c>
      <c r="K31" s="278" t="s">
        <v>393</v>
      </c>
      <c r="L31" s="538" t="s">
        <v>27</v>
      </c>
      <c r="M31" s="277"/>
      <c r="N31" s="279"/>
      <c r="O31" s="279"/>
      <c r="P31" s="277"/>
      <c r="Q31" s="279"/>
      <c r="R31" s="280"/>
      <c r="S31" s="281">
        <v>0</v>
      </c>
      <c r="T31" s="282">
        <v>0</v>
      </c>
      <c r="U31" s="282">
        <v>1</v>
      </c>
      <c r="V31" s="282">
        <v>0</v>
      </c>
      <c r="W31" s="276">
        <v>0</v>
      </c>
      <c r="X31" s="276">
        <v>0</v>
      </c>
      <c r="Y31" s="283">
        <v>0</v>
      </c>
      <c r="AA31" s="504" t="s">
        <v>80</v>
      </c>
      <c r="AB31" s="513">
        <f>COUNTIF(L55:L63,"Comp seal")</f>
        <v>0</v>
      </c>
    </row>
    <row r="32" spans="2:28" ht="15.75" thickBot="1">
      <c r="B32" s="275">
        <v>11988.7</v>
      </c>
      <c r="C32" s="276" t="s">
        <v>45</v>
      </c>
      <c r="D32" s="276">
        <v>1</v>
      </c>
      <c r="E32" s="276" t="s">
        <v>396</v>
      </c>
      <c r="F32" s="276" t="s">
        <v>272</v>
      </c>
      <c r="G32" s="276" t="s">
        <v>75</v>
      </c>
      <c r="H32" s="282" t="s">
        <v>17</v>
      </c>
      <c r="I32" s="282" t="s">
        <v>26</v>
      </c>
      <c r="J32" s="277" t="s">
        <v>258</v>
      </c>
      <c r="K32" s="278" t="s">
        <v>393</v>
      </c>
      <c r="L32" s="538" t="s">
        <v>27</v>
      </c>
      <c r="M32" s="277"/>
      <c r="N32" s="279"/>
      <c r="O32" s="279"/>
      <c r="P32" s="277"/>
      <c r="Q32" s="279"/>
      <c r="R32" s="280"/>
      <c r="S32" s="281">
        <v>0</v>
      </c>
      <c r="T32" s="282">
        <v>0</v>
      </c>
      <c r="U32" s="282">
        <v>1</v>
      </c>
      <c r="V32" s="282">
        <v>0</v>
      </c>
      <c r="W32" s="276">
        <v>0</v>
      </c>
      <c r="X32" s="276">
        <v>0</v>
      </c>
      <c r="Y32" s="283">
        <v>0</v>
      </c>
      <c r="AA32" s="301"/>
      <c r="AB32" s="301"/>
    </row>
    <row r="33" spans="2:28">
      <c r="B33" s="275">
        <v>11988.8</v>
      </c>
      <c r="C33" s="276" t="s">
        <v>58</v>
      </c>
      <c r="D33" s="276">
        <v>1</v>
      </c>
      <c r="E33" s="276" t="s">
        <v>396</v>
      </c>
      <c r="F33" s="276" t="s">
        <v>273</v>
      </c>
      <c r="G33" s="276" t="s">
        <v>73</v>
      </c>
      <c r="H33" s="282" t="s">
        <v>44</v>
      </c>
      <c r="I33" s="282" t="s">
        <v>59</v>
      </c>
      <c r="J33" s="277" t="s">
        <v>258</v>
      </c>
      <c r="K33" s="278" t="s">
        <v>393</v>
      </c>
      <c r="L33" s="538" t="s">
        <v>27</v>
      </c>
      <c r="M33" s="277"/>
      <c r="N33" s="279"/>
      <c r="O33" s="279"/>
      <c r="P33" s="277"/>
      <c r="Q33" s="279"/>
      <c r="R33" s="280"/>
      <c r="S33" s="281">
        <v>0</v>
      </c>
      <c r="T33" s="282">
        <v>0</v>
      </c>
      <c r="U33" s="282">
        <v>3</v>
      </c>
      <c r="V33" s="282">
        <v>0</v>
      </c>
      <c r="W33" s="276">
        <v>0</v>
      </c>
      <c r="X33" s="276">
        <v>0</v>
      </c>
      <c r="Y33" s="283">
        <v>0</v>
      </c>
      <c r="AA33" s="507" t="s">
        <v>252</v>
      </c>
      <c r="AB33" s="510" t="s">
        <v>403</v>
      </c>
    </row>
    <row r="34" spans="2:28">
      <c r="B34" s="275">
        <v>11988.9</v>
      </c>
      <c r="C34" s="276" t="s">
        <v>50</v>
      </c>
      <c r="D34" s="276">
        <v>2</v>
      </c>
      <c r="E34" s="276" t="s">
        <v>396</v>
      </c>
      <c r="F34" s="276" t="s">
        <v>273</v>
      </c>
      <c r="G34" s="276" t="s">
        <v>72</v>
      </c>
      <c r="H34" s="282" t="s">
        <v>44</v>
      </c>
      <c r="I34" s="282" t="s">
        <v>59</v>
      </c>
      <c r="J34" s="277" t="s">
        <v>258</v>
      </c>
      <c r="K34" s="278" t="s">
        <v>393</v>
      </c>
      <c r="L34" s="538" t="s">
        <v>27</v>
      </c>
      <c r="M34" s="277" t="s">
        <v>87</v>
      </c>
      <c r="N34" s="279"/>
      <c r="O34" s="279"/>
      <c r="P34" s="277"/>
      <c r="Q34" s="279"/>
      <c r="R34" s="280"/>
      <c r="S34" s="281">
        <v>0</v>
      </c>
      <c r="T34" s="282">
        <v>0</v>
      </c>
      <c r="U34" s="282">
        <v>1</v>
      </c>
      <c r="V34" s="282">
        <v>0</v>
      </c>
      <c r="W34" s="276">
        <v>0</v>
      </c>
      <c r="X34" s="276">
        <v>0</v>
      </c>
      <c r="Y34" s="283">
        <v>0</v>
      </c>
      <c r="AA34" s="506" t="s">
        <v>3</v>
      </c>
      <c r="AB34" s="511">
        <f>COUNTIF(L6:L63,"Valve")</f>
        <v>16</v>
      </c>
    </row>
    <row r="35" spans="2:28">
      <c r="B35" s="275">
        <v>11992.1</v>
      </c>
      <c r="C35" s="276" t="s">
        <v>25</v>
      </c>
      <c r="D35" s="276">
        <v>1</v>
      </c>
      <c r="E35" s="276" t="s">
        <v>396</v>
      </c>
      <c r="F35" s="276" t="s">
        <v>273</v>
      </c>
      <c r="G35" s="276" t="s">
        <v>72</v>
      </c>
      <c r="H35" s="282" t="s">
        <v>44</v>
      </c>
      <c r="I35" s="282" t="s">
        <v>59</v>
      </c>
      <c r="J35" s="277" t="s">
        <v>258</v>
      </c>
      <c r="K35" s="278" t="s">
        <v>393</v>
      </c>
      <c r="L35" s="538" t="s">
        <v>27</v>
      </c>
      <c r="M35" s="277" t="s">
        <v>87</v>
      </c>
      <c r="N35" s="279"/>
      <c r="O35" s="279"/>
      <c r="P35" s="277"/>
      <c r="Q35" s="279"/>
      <c r="R35" s="280"/>
      <c r="S35" s="281">
        <v>0</v>
      </c>
      <c r="T35" s="282">
        <v>0</v>
      </c>
      <c r="U35" s="282">
        <v>2</v>
      </c>
      <c r="V35" s="282">
        <v>0</v>
      </c>
      <c r="W35" s="276">
        <v>0</v>
      </c>
      <c r="X35" s="276">
        <v>0</v>
      </c>
      <c r="Y35" s="283">
        <v>0</v>
      </c>
      <c r="AA35" s="503" t="s">
        <v>27</v>
      </c>
      <c r="AB35" s="512">
        <f>COUNTIF(L6:L63,"Other")</f>
        <v>40</v>
      </c>
    </row>
    <row r="36" spans="2:28">
      <c r="B36" s="275">
        <v>11992.2</v>
      </c>
      <c r="C36" s="276" t="s">
        <v>57</v>
      </c>
      <c r="D36" s="276">
        <v>0.75</v>
      </c>
      <c r="E36" s="276" t="s">
        <v>396</v>
      </c>
      <c r="F36" s="276" t="s">
        <v>399</v>
      </c>
      <c r="G36" s="276"/>
      <c r="H36" s="282" t="s">
        <v>44</v>
      </c>
      <c r="I36" s="282" t="s">
        <v>43</v>
      </c>
      <c r="J36" s="277" t="s">
        <v>258</v>
      </c>
      <c r="K36" s="278" t="s">
        <v>393</v>
      </c>
      <c r="L36" s="538" t="s">
        <v>27</v>
      </c>
      <c r="M36" s="277"/>
      <c r="N36" s="279"/>
      <c r="O36" s="279"/>
      <c r="P36" s="277"/>
      <c r="Q36" s="279"/>
      <c r="R36" s="280"/>
      <c r="S36" s="281">
        <v>0</v>
      </c>
      <c r="T36" s="282">
        <v>0</v>
      </c>
      <c r="U36" s="282">
        <v>1</v>
      </c>
      <c r="V36" s="282">
        <v>0</v>
      </c>
      <c r="W36" s="276">
        <v>0</v>
      </c>
      <c r="X36" s="276">
        <v>0</v>
      </c>
      <c r="Y36" s="283">
        <v>0</v>
      </c>
      <c r="AA36" s="503" t="s">
        <v>79</v>
      </c>
      <c r="AB36" s="512">
        <f>COUNTIF(L6:L63,"Pump seal")</f>
        <v>1</v>
      </c>
    </row>
    <row r="37" spans="2:28">
      <c r="B37" s="275">
        <v>11992.3</v>
      </c>
      <c r="C37" s="276" t="s">
        <v>25</v>
      </c>
      <c r="D37" s="276">
        <v>0.75</v>
      </c>
      <c r="E37" s="276" t="s">
        <v>396</v>
      </c>
      <c r="F37" s="276" t="s">
        <v>399</v>
      </c>
      <c r="G37" s="276"/>
      <c r="H37" s="282" t="s">
        <v>44</v>
      </c>
      <c r="I37" s="282" t="s">
        <v>43</v>
      </c>
      <c r="J37" s="277" t="s">
        <v>258</v>
      </c>
      <c r="K37" s="278" t="s">
        <v>393</v>
      </c>
      <c r="L37" s="538" t="s">
        <v>25</v>
      </c>
      <c r="M37" s="277"/>
      <c r="N37" s="279"/>
      <c r="O37" s="279"/>
      <c r="P37" s="277"/>
      <c r="Q37" s="279"/>
      <c r="R37" s="280"/>
      <c r="S37" s="281">
        <v>1</v>
      </c>
      <c r="T37" s="282">
        <v>0</v>
      </c>
      <c r="U37" s="282">
        <v>1</v>
      </c>
      <c r="V37" s="282">
        <v>0</v>
      </c>
      <c r="W37" s="276">
        <v>0</v>
      </c>
      <c r="X37" s="276">
        <v>0</v>
      </c>
      <c r="Y37" s="283">
        <v>0</v>
      </c>
      <c r="AA37" s="503" t="s">
        <v>5</v>
      </c>
      <c r="AB37" s="512">
        <f>COUNTIF(L6:L63,"PRD")</f>
        <v>1</v>
      </c>
    </row>
    <row r="38" spans="2:28" ht="15.75" thickBot="1">
      <c r="B38" s="275">
        <v>11992.4</v>
      </c>
      <c r="C38" s="276" t="s">
        <v>50</v>
      </c>
      <c r="D38" s="276">
        <v>0.75</v>
      </c>
      <c r="E38" s="276" t="s">
        <v>396</v>
      </c>
      <c r="F38" s="276" t="s">
        <v>399</v>
      </c>
      <c r="G38" s="276"/>
      <c r="H38" s="282" t="s">
        <v>44</v>
      </c>
      <c r="I38" s="282" t="s">
        <v>43</v>
      </c>
      <c r="J38" s="277" t="s">
        <v>258</v>
      </c>
      <c r="K38" s="278" t="s">
        <v>393</v>
      </c>
      <c r="L38" s="538" t="s">
        <v>27</v>
      </c>
      <c r="M38" s="277"/>
      <c r="N38" s="279"/>
      <c r="O38" s="279"/>
      <c r="P38" s="277"/>
      <c r="Q38" s="279"/>
      <c r="R38" s="280"/>
      <c r="S38" s="281">
        <v>0</v>
      </c>
      <c r="T38" s="282">
        <v>0</v>
      </c>
      <c r="U38" s="282">
        <v>1</v>
      </c>
      <c r="V38" s="282">
        <v>0</v>
      </c>
      <c r="W38" s="276">
        <v>0</v>
      </c>
      <c r="X38" s="276">
        <v>0</v>
      </c>
      <c r="Y38" s="283">
        <v>0</v>
      </c>
      <c r="AA38" s="504" t="s">
        <v>80</v>
      </c>
      <c r="AB38" s="513">
        <f>COUNTIF(L6:L63,"Comp seal")</f>
        <v>0</v>
      </c>
    </row>
    <row r="39" spans="2:28" ht="15.75" thickBot="1">
      <c r="B39" s="275">
        <v>11992.5</v>
      </c>
      <c r="C39" s="276" t="s">
        <v>47</v>
      </c>
      <c r="D39" s="276">
        <v>0.5</v>
      </c>
      <c r="E39" s="276" t="s">
        <v>396</v>
      </c>
      <c r="F39" s="276" t="s">
        <v>399</v>
      </c>
      <c r="G39" s="276"/>
      <c r="H39" s="282" t="s">
        <v>44</v>
      </c>
      <c r="I39" s="282" t="s">
        <v>43</v>
      </c>
      <c r="J39" s="277" t="s">
        <v>258</v>
      </c>
      <c r="K39" s="278" t="s">
        <v>393</v>
      </c>
      <c r="L39" s="538" t="s">
        <v>27</v>
      </c>
      <c r="M39" s="277"/>
      <c r="N39" s="279"/>
      <c r="O39" s="279"/>
      <c r="P39" s="277" t="s">
        <v>46</v>
      </c>
      <c r="Q39" s="279"/>
      <c r="R39" s="280"/>
      <c r="S39" s="281">
        <v>0</v>
      </c>
      <c r="T39" s="282">
        <v>0</v>
      </c>
      <c r="U39" s="282">
        <v>0</v>
      </c>
      <c r="V39" s="282">
        <v>0</v>
      </c>
      <c r="W39" s="276">
        <v>0</v>
      </c>
      <c r="X39" s="276">
        <v>0</v>
      </c>
      <c r="Y39" s="283">
        <v>0</v>
      </c>
      <c r="AA39" s="301"/>
      <c r="AB39" s="301"/>
    </row>
    <row r="40" spans="2:28">
      <c r="B40" s="275">
        <v>11992.6</v>
      </c>
      <c r="C40" s="276" t="s">
        <v>58</v>
      </c>
      <c r="D40" s="276">
        <v>0.5</v>
      </c>
      <c r="E40" s="276" t="s">
        <v>396</v>
      </c>
      <c r="F40" s="276" t="s">
        <v>399</v>
      </c>
      <c r="G40" s="276"/>
      <c r="H40" s="282" t="s">
        <v>44</v>
      </c>
      <c r="I40" s="282" t="s">
        <v>43</v>
      </c>
      <c r="J40" s="277" t="s">
        <v>258</v>
      </c>
      <c r="K40" s="278" t="s">
        <v>393</v>
      </c>
      <c r="L40" s="538" t="s">
        <v>27</v>
      </c>
      <c r="M40" s="277"/>
      <c r="N40" s="279"/>
      <c r="O40" s="279"/>
      <c r="P40" s="277"/>
      <c r="Q40" s="279"/>
      <c r="R40" s="280"/>
      <c r="S40" s="281">
        <v>0</v>
      </c>
      <c r="T40" s="282">
        <v>0</v>
      </c>
      <c r="U40" s="282">
        <v>2</v>
      </c>
      <c r="V40" s="282">
        <v>0</v>
      </c>
      <c r="W40" s="276">
        <v>0</v>
      </c>
      <c r="X40" s="276">
        <v>0</v>
      </c>
      <c r="Y40" s="283">
        <v>0</v>
      </c>
      <c r="AA40" s="507" t="s">
        <v>252</v>
      </c>
      <c r="AB40" s="510" t="s">
        <v>406</v>
      </c>
    </row>
    <row r="41" spans="2:28">
      <c r="B41" s="275">
        <v>11992.7</v>
      </c>
      <c r="C41" s="276" t="s">
        <v>57</v>
      </c>
      <c r="D41" s="276">
        <v>0.75</v>
      </c>
      <c r="E41" s="276" t="s">
        <v>396</v>
      </c>
      <c r="F41" s="276" t="s">
        <v>399</v>
      </c>
      <c r="G41" s="276"/>
      <c r="H41" s="282" t="s">
        <v>44</v>
      </c>
      <c r="I41" s="282" t="s">
        <v>43</v>
      </c>
      <c r="J41" s="277" t="s">
        <v>258</v>
      </c>
      <c r="K41" s="278" t="s">
        <v>393</v>
      </c>
      <c r="L41" s="538" t="s">
        <v>27</v>
      </c>
      <c r="M41" s="277"/>
      <c r="N41" s="279"/>
      <c r="O41" s="279"/>
      <c r="P41" s="277"/>
      <c r="Q41" s="279"/>
      <c r="R41" s="280"/>
      <c r="S41" s="281">
        <v>0</v>
      </c>
      <c r="T41" s="282">
        <v>0</v>
      </c>
      <c r="U41" s="282">
        <v>1</v>
      </c>
      <c r="V41" s="282">
        <v>0</v>
      </c>
      <c r="W41" s="276">
        <v>0</v>
      </c>
      <c r="X41" s="276">
        <v>0</v>
      </c>
      <c r="Y41" s="283">
        <v>0</v>
      </c>
      <c r="AA41" s="506" t="s">
        <v>84</v>
      </c>
      <c r="AB41" s="511">
        <f>SUM(S6:S54)</f>
        <v>14</v>
      </c>
    </row>
    <row r="42" spans="2:28">
      <c r="B42" s="275">
        <v>11993.1</v>
      </c>
      <c r="C42" s="276" t="s">
        <v>25</v>
      </c>
      <c r="D42" s="276">
        <v>0.75</v>
      </c>
      <c r="E42" s="276" t="s">
        <v>396</v>
      </c>
      <c r="F42" s="276" t="s">
        <v>400</v>
      </c>
      <c r="G42" s="276"/>
      <c r="H42" s="282" t="s">
        <v>44</v>
      </c>
      <c r="I42" s="282" t="s">
        <v>43</v>
      </c>
      <c r="J42" s="277" t="s">
        <v>258</v>
      </c>
      <c r="K42" s="278" t="s">
        <v>393</v>
      </c>
      <c r="L42" s="538" t="s">
        <v>25</v>
      </c>
      <c r="M42" s="277"/>
      <c r="N42" s="279"/>
      <c r="O42" s="279"/>
      <c r="P42" s="277"/>
      <c r="Q42" s="279"/>
      <c r="R42" s="280"/>
      <c r="S42" s="281">
        <v>1</v>
      </c>
      <c r="T42" s="282">
        <v>0</v>
      </c>
      <c r="U42" s="282">
        <v>1</v>
      </c>
      <c r="V42" s="282">
        <v>0</v>
      </c>
      <c r="W42" s="276">
        <v>0</v>
      </c>
      <c r="X42" s="276">
        <v>0</v>
      </c>
      <c r="Y42" s="283">
        <v>0</v>
      </c>
      <c r="AA42" s="503" t="s">
        <v>83</v>
      </c>
      <c r="AB42" s="512">
        <f>SUM(T6:T54)</f>
        <v>18</v>
      </c>
    </row>
    <row r="43" spans="2:28">
      <c r="B43" s="275">
        <v>11993.2</v>
      </c>
      <c r="C43" s="276" t="s">
        <v>50</v>
      </c>
      <c r="D43" s="276">
        <v>0.75</v>
      </c>
      <c r="E43" s="276" t="s">
        <v>396</v>
      </c>
      <c r="F43" s="276" t="s">
        <v>400</v>
      </c>
      <c r="G43" s="276"/>
      <c r="H43" s="282" t="s">
        <v>44</v>
      </c>
      <c r="I43" s="282" t="s">
        <v>43</v>
      </c>
      <c r="J43" s="277" t="s">
        <v>258</v>
      </c>
      <c r="K43" s="278" t="s">
        <v>393</v>
      </c>
      <c r="L43" s="538" t="s">
        <v>27</v>
      </c>
      <c r="M43" s="277"/>
      <c r="N43" s="279"/>
      <c r="O43" s="279"/>
      <c r="P43" s="277"/>
      <c r="Q43" s="279"/>
      <c r="R43" s="280"/>
      <c r="S43" s="281">
        <v>0</v>
      </c>
      <c r="T43" s="282">
        <v>0</v>
      </c>
      <c r="U43" s="282">
        <v>1</v>
      </c>
      <c r="V43" s="282">
        <v>0</v>
      </c>
      <c r="W43" s="276">
        <v>0</v>
      </c>
      <c r="X43" s="276">
        <v>0</v>
      </c>
      <c r="Y43" s="283">
        <v>0</v>
      </c>
      <c r="AA43" s="503" t="s">
        <v>82</v>
      </c>
      <c r="AB43" s="512">
        <f>SUM(U6:U54)</f>
        <v>42</v>
      </c>
    </row>
    <row r="44" spans="2:28">
      <c r="B44" s="275">
        <v>11993.7</v>
      </c>
      <c r="C44" s="276" t="s">
        <v>51</v>
      </c>
      <c r="D44" s="276">
        <v>0.5</v>
      </c>
      <c r="E44" s="276" t="s">
        <v>396</v>
      </c>
      <c r="F44" s="276" t="s">
        <v>400</v>
      </c>
      <c r="G44" s="276"/>
      <c r="H44" s="282" t="s">
        <v>44</v>
      </c>
      <c r="I44" s="282" t="s">
        <v>43</v>
      </c>
      <c r="J44" s="277" t="s">
        <v>258</v>
      </c>
      <c r="K44" s="278" t="s">
        <v>393</v>
      </c>
      <c r="L44" s="538" t="s">
        <v>27</v>
      </c>
      <c r="M44" s="277"/>
      <c r="N44" s="279"/>
      <c r="O44" s="279"/>
      <c r="P44" s="277"/>
      <c r="Q44" s="279"/>
      <c r="R44" s="280"/>
      <c r="S44" s="281">
        <v>0</v>
      </c>
      <c r="T44" s="282">
        <v>0</v>
      </c>
      <c r="U44" s="282">
        <v>1</v>
      </c>
      <c r="V44" s="282">
        <v>0</v>
      </c>
      <c r="W44" s="276">
        <v>0</v>
      </c>
      <c r="X44" s="276">
        <v>0</v>
      </c>
      <c r="Y44" s="283">
        <v>0</v>
      </c>
      <c r="AA44" s="503" t="s">
        <v>81</v>
      </c>
      <c r="AB44" s="512">
        <f>SUM(V6:V54)</f>
        <v>11</v>
      </c>
    </row>
    <row r="45" spans="2:28">
      <c r="B45" s="275">
        <v>11993.9</v>
      </c>
      <c r="C45" s="276" t="s">
        <v>54</v>
      </c>
      <c r="D45" s="276">
        <v>1.5</v>
      </c>
      <c r="E45" s="276" t="s">
        <v>396</v>
      </c>
      <c r="F45" s="276" t="s">
        <v>400</v>
      </c>
      <c r="G45" s="276"/>
      <c r="H45" s="282" t="s">
        <v>44</v>
      </c>
      <c r="I45" s="282" t="s">
        <v>43</v>
      </c>
      <c r="J45" s="277" t="s">
        <v>258</v>
      </c>
      <c r="K45" s="278" t="s">
        <v>393</v>
      </c>
      <c r="L45" s="538" t="s">
        <v>27</v>
      </c>
      <c r="M45" s="277"/>
      <c r="N45" s="279"/>
      <c r="O45" s="279"/>
      <c r="P45" s="277"/>
      <c r="Q45" s="279"/>
      <c r="R45" s="280"/>
      <c r="S45" s="281">
        <v>0</v>
      </c>
      <c r="T45" s="282">
        <v>0</v>
      </c>
      <c r="U45" s="282">
        <v>0</v>
      </c>
      <c r="V45" s="282">
        <v>1</v>
      </c>
      <c r="W45" s="276">
        <v>0</v>
      </c>
      <c r="X45" s="276">
        <v>0</v>
      </c>
      <c r="Y45" s="283">
        <v>0</v>
      </c>
      <c r="AA45" s="506" t="s">
        <v>80</v>
      </c>
      <c r="AB45" s="511">
        <f>SUM(W6:W54)</f>
        <v>0</v>
      </c>
    </row>
    <row r="46" spans="2:28">
      <c r="B46" s="284">
        <v>12021.1</v>
      </c>
      <c r="C46" s="276" t="s">
        <v>57</v>
      </c>
      <c r="D46" s="276">
        <v>1</v>
      </c>
      <c r="E46" s="276" t="s">
        <v>396</v>
      </c>
      <c r="F46" s="276" t="s">
        <v>400</v>
      </c>
      <c r="G46" s="276"/>
      <c r="H46" s="282" t="s">
        <v>44</v>
      </c>
      <c r="I46" s="282" t="s">
        <v>43</v>
      </c>
      <c r="J46" s="277" t="s">
        <v>258</v>
      </c>
      <c r="K46" s="278" t="s">
        <v>393</v>
      </c>
      <c r="L46" s="538" t="s">
        <v>27</v>
      </c>
      <c r="M46" s="277"/>
      <c r="N46" s="279"/>
      <c r="O46" s="279"/>
      <c r="P46" s="277"/>
      <c r="Q46" s="279"/>
      <c r="R46" s="280"/>
      <c r="S46" s="281">
        <v>0</v>
      </c>
      <c r="T46" s="282">
        <v>0</v>
      </c>
      <c r="U46" s="282">
        <v>1</v>
      </c>
      <c r="V46" s="282">
        <v>0</v>
      </c>
      <c r="W46" s="276">
        <v>0</v>
      </c>
      <c r="X46" s="276">
        <v>0</v>
      </c>
      <c r="Y46" s="283">
        <v>0</v>
      </c>
      <c r="AA46" s="503" t="s">
        <v>79</v>
      </c>
      <c r="AB46" s="512">
        <f>SUM(X6:X54)</f>
        <v>0</v>
      </c>
    </row>
    <row r="47" spans="2:28" ht="15.75" thickBot="1">
      <c r="B47" s="284">
        <v>12021.2</v>
      </c>
      <c r="C47" s="276" t="s">
        <v>103</v>
      </c>
      <c r="D47" s="276">
        <v>1</v>
      </c>
      <c r="E47" s="276" t="s">
        <v>396</v>
      </c>
      <c r="F47" s="276" t="s">
        <v>400</v>
      </c>
      <c r="G47" s="276"/>
      <c r="H47" s="282" t="s">
        <v>44</v>
      </c>
      <c r="I47" s="282" t="s">
        <v>43</v>
      </c>
      <c r="J47" s="277" t="s">
        <v>258</v>
      </c>
      <c r="K47" s="278" t="s">
        <v>393</v>
      </c>
      <c r="L47" s="538" t="s">
        <v>103</v>
      </c>
      <c r="M47" s="277"/>
      <c r="N47" s="279"/>
      <c r="O47" s="279"/>
      <c r="P47" s="277"/>
      <c r="Q47" s="279"/>
      <c r="R47" s="280"/>
      <c r="S47" s="281">
        <v>0</v>
      </c>
      <c r="T47" s="282">
        <v>0</v>
      </c>
      <c r="U47" s="282">
        <v>0</v>
      </c>
      <c r="V47" s="282">
        <v>2</v>
      </c>
      <c r="W47" s="276">
        <v>0</v>
      </c>
      <c r="X47" s="276">
        <v>0</v>
      </c>
      <c r="Y47" s="283">
        <v>1</v>
      </c>
      <c r="AA47" s="504" t="s">
        <v>103</v>
      </c>
      <c r="AB47" s="513">
        <f>SUM(Y6:Y54)</f>
        <v>1</v>
      </c>
    </row>
    <row r="48" spans="2:28" ht="15.75" thickBot="1">
      <c r="B48" s="284">
        <v>12021.3</v>
      </c>
      <c r="C48" s="276" t="s">
        <v>57</v>
      </c>
      <c r="D48" s="276">
        <v>0.75</v>
      </c>
      <c r="E48" s="276" t="s">
        <v>396</v>
      </c>
      <c r="F48" s="276" t="s">
        <v>274</v>
      </c>
      <c r="G48" s="276" t="s">
        <v>78</v>
      </c>
      <c r="H48" s="282" t="s">
        <v>44</v>
      </c>
      <c r="I48" s="282" t="s">
        <v>43</v>
      </c>
      <c r="J48" s="277" t="s">
        <v>258</v>
      </c>
      <c r="K48" s="278" t="s">
        <v>393</v>
      </c>
      <c r="L48" s="538" t="s">
        <v>27</v>
      </c>
      <c r="M48" s="277"/>
      <c r="N48" s="279"/>
      <c r="O48" s="279"/>
      <c r="P48" s="277"/>
      <c r="Q48" s="279"/>
      <c r="R48" s="280"/>
      <c r="S48" s="281">
        <v>0</v>
      </c>
      <c r="T48" s="282">
        <v>0</v>
      </c>
      <c r="U48" s="282">
        <v>1</v>
      </c>
      <c r="V48" s="282">
        <v>0</v>
      </c>
      <c r="W48" s="276">
        <v>0</v>
      </c>
      <c r="X48" s="276">
        <v>0</v>
      </c>
      <c r="Y48" s="283">
        <v>0</v>
      </c>
      <c r="AA48" s="301"/>
      <c r="AB48" s="301"/>
    </row>
    <row r="49" spans="2:28">
      <c r="B49" s="284">
        <v>12021.4</v>
      </c>
      <c r="C49" s="276" t="s">
        <v>52</v>
      </c>
      <c r="D49" s="276">
        <v>0.75</v>
      </c>
      <c r="E49" s="276" t="s">
        <v>396</v>
      </c>
      <c r="F49" s="276" t="s">
        <v>274</v>
      </c>
      <c r="G49" s="276" t="s">
        <v>78</v>
      </c>
      <c r="H49" s="282" t="s">
        <v>44</v>
      </c>
      <c r="I49" s="282" t="s">
        <v>43</v>
      </c>
      <c r="J49" s="277" t="s">
        <v>258</v>
      </c>
      <c r="K49" s="278" t="s">
        <v>393</v>
      </c>
      <c r="L49" s="538" t="s">
        <v>27</v>
      </c>
      <c r="M49" s="277"/>
      <c r="N49" s="279"/>
      <c r="O49" s="279"/>
      <c r="P49" s="277"/>
      <c r="Q49" s="279"/>
      <c r="R49" s="280"/>
      <c r="S49" s="281">
        <v>0</v>
      </c>
      <c r="T49" s="282">
        <v>0</v>
      </c>
      <c r="U49" s="282">
        <v>1</v>
      </c>
      <c r="V49" s="282">
        <v>0</v>
      </c>
      <c r="W49" s="276">
        <v>0</v>
      </c>
      <c r="X49" s="276">
        <v>0</v>
      </c>
      <c r="Y49" s="283">
        <v>0</v>
      </c>
      <c r="AA49" s="507" t="s">
        <v>252</v>
      </c>
      <c r="AB49" s="510" t="s">
        <v>407</v>
      </c>
    </row>
    <row r="50" spans="2:28">
      <c r="B50" s="284">
        <v>12021.5</v>
      </c>
      <c r="C50" s="276" t="s">
        <v>50</v>
      </c>
      <c r="D50" s="276">
        <v>1</v>
      </c>
      <c r="E50" s="276" t="s">
        <v>396</v>
      </c>
      <c r="F50" s="276" t="s">
        <v>274</v>
      </c>
      <c r="G50" s="276" t="s">
        <v>78</v>
      </c>
      <c r="H50" s="282" t="s">
        <v>44</v>
      </c>
      <c r="I50" s="282" t="s">
        <v>43</v>
      </c>
      <c r="J50" s="277" t="s">
        <v>258</v>
      </c>
      <c r="K50" s="278" t="s">
        <v>393</v>
      </c>
      <c r="L50" s="538" t="s">
        <v>27</v>
      </c>
      <c r="M50" s="277"/>
      <c r="N50" s="279"/>
      <c r="O50" s="279"/>
      <c r="P50" s="277"/>
      <c r="Q50" s="279"/>
      <c r="R50" s="280"/>
      <c r="S50" s="281">
        <v>0</v>
      </c>
      <c r="T50" s="282">
        <v>0</v>
      </c>
      <c r="U50" s="282">
        <v>1</v>
      </c>
      <c r="V50" s="282">
        <v>0</v>
      </c>
      <c r="W50" s="276">
        <v>0</v>
      </c>
      <c r="X50" s="276">
        <v>0</v>
      </c>
      <c r="Y50" s="283">
        <v>0</v>
      </c>
      <c r="AA50" s="506" t="s">
        <v>84</v>
      </c>
      <c r="AB50" s="511">
        <f>SUM(S55:S63)</f>
        <v>2</v>
      </c>
    </row>
    <row r="51" spans="2:28">
      <c r="B51" s="284">
        <v>12021.6</v>
      </c>
      <c r="C51" s="276" t="s">
        <v>25</v>
      </c>
      <c r="D51" s="276">
        <v>1</v>
      </c>
      <c r="E51" s="276" t="s">
        <v>396</v>
      </c>
      <c r="F51" s="276" t="s">
        <v>274</v>
      </c>
      <c r="G51" s="276" t="s">
        <v>78</v>
      </c>
      <c r="H51" s="282" t="s">
        <v>44</v>
      </c>
      <c r="I51" s="282" t="s">
        <v>43</v>
      </c>
      <c r="J51" s="277" t="s">
        <v>258</v>
      </c>
      <c r="K51" s="278" t="s">
        <v>393</v>
      </c>
      <c r="L51" s="538" t="s">
        <v>25</v>
      </c>
      <c r="M51" s="277"/>
      <c r="N51" s="279"/>
      <c r="O51" s="279"/>
      <c r="P51" s="277"/>
      <c r="Q51" s="279"/>
      <c r="R51" s="280"/>
      <c r="S51" s="281">
        <v>1</v>
      </c>
      <c r="T51" s="282">
        <v>1</v>
      </c>
      <c r="U51" s="282">
        <v>2</v>
      </c>
      <c r="V51" s="282">
        <v>0</v>
      </c>
      <c r="W51" s="276">
        <v>0</v>
      </c>
      <c r="X51" s="276">
        <v>0</v>
      </c>
      <c r="Y51" s="283">
        <v>0</v>
      </c>
      <c r="AA51" s="503" t="s">
        <v>83</v>
      </c>
      <c r="AB51" s="512">
        <f>SUM(T55:T63)</f>
        <v>0</v>
      </c>
    </row>
    <row r="52" spans="2:28">
      <c r="B52" s="284">
        <v>12021.9</v>
      </c>
      <c r="C52" s="276" t="s">
        <v>52</v>
      </c>
      <c r="D52" s="276">
        <v>1</v>
      </c>
      <c r="E52" s="276" t="s">
        <v>396</v>
      </c>
      <c r="F52" s="276" t="s">
        <v>274</v>
      </c>
      <c r="G52" s="276" t="s">
        <v>78</v>
      </c>
      <c r="H52" s="282" t="s">
        <v>44</v>
      </c>
      <c r="I52" s="282" t="s">
        <v>43</v>
      </c>
      <c r="J52" s="277" t="s">
        <v>258</v>
      </c>
      <c r="K52" s="278" t="s">
        <v>393</v>
      </c>
      <c r="L52" s="538" t="s">
        <v>27</v>
      </c>
      <c r="M52" s="277"/>
      <c r="N52" s="279"/>
      <c r="O52" s="279"/>
      <c r="P52" s="277"/>
      <c r="Q52" s="279"/>
      <c r="R52" s="280"/>
      <c r="S52" s="281">
        <v>0</v>
      </c>
      <c r="T52" s="282">
        <v>0</v>
      </c>
      <c r="U52" s="282">
        <v>2</v>
      </c>
      <c r="V52" s="282">
        <v>0</v>
      </c>
      <c r="W52" s="276">
        <v>0</v>
      </c>
      <c r="X52" s="276">
        <v>0</v>
      </c>
      <c r="Y52" s="283">
        <v>0</v>
      </c>
      <c r="AA52" s="503" t="s">
        <v>82</v>
      </c>
      <c r="AB52" s="512">
        <f>SUM(U55:U63)</f>
        <v>14</v>
      </c>
    </row>
    <row r="53" spans="2:28">
      <c r="B53" s="275">
        <v>12028.3</v>
      </c>
      <c r="C53" s="276" t="s">
        <v>25</v>
      </c>
      <c r="D53" s="276">
        <v>0.75</v>
      </c>
      <c r="E53" s="276" t="s">
        <v>396</v>
      </c>
      <c r="F53" s="276" t="s">
        <v>275</v>
      </c>
      <c r="G53" s="276" t="s">
        <v>74</v>
      </c>
      <c r="H53" s="282" t="s">
        <v>44</v>
      </c>
      <c r="I53" s="282" t="s">
        <v>43</v>
      </c>
      <c r="J53" s="277" t="s">
        <v>258</v>
      </c>
      <c r="K53" s="278" t="s">
        <v>393</v>
      </c>
      <c r="L53" s="538" t="s">
        <v>25</v>
      </c>
      <c r="M53" s="277"/>
      <c r="N53" s="279"/>
      <c r="O53" s="279"/>
      <c r="P53" s="277"/>
      <c r="Q53" s="279"/>
      <c r="R53" s="280"/>
      <c r="S53" s="281">
        <v>1</v>
      </c>
      <c r="T53" s="282">
        <v>1</v>
      </c>
      <c r="U53" s="282">
        <v>0</v>
      </c>
      <c r="V53" s="282">
        <v>0</v>
      </c>
      <c r="W53" s="276">
        <v>0</v>
      </c>
      <c r="X53" s="276">
        <v>0</v>
      </c>
      <c r="Y53" s="283">
        <v>0</v>
      </c>
      <c r="AA53" s="503" t="s">
        <v>81</v>
      </c>
      <c r="AB53" s="512">
        <f>SUM(V55:V63)</f>
        <v>1</v>
      </c>
    </row>
    <row r="54" spans="2:28" ht="15.75" thickBot="1">
      <c r="B54" s="514">
        <v>12028.4</v>
      </c>
      <c r="C54" s="515" t="s">
        <v>45</v>
      </c>
      <c r="D54" s="515">
        <v>0.75</v>
      </c>
      <c r="E54" s="515" t="s">
        <v>396</v>
      </c>
      <c r="F54" s="515" t="s">
        <v>275</v>
      </c>
      <c r="G54" s="515" t="s">
        <v>74</v>
      </c>
      <c r="H54" s="520" t="s">
        <v>44</v>
      </c>
      <c r="I54" s="520" t="s">
        <v>43</v>
      </c>
      <c r="J54" s="287" t="s">
        <v>258</v>
      </c>
      <c r="K54" s="516" t="s">
        <v>393</v>
      </c>
      <c r="L54" s="539" t="s">
        <v>27</v>
      </c>
      <c r="M54" s="287"/>
      <c r="N54" s="517"/>
      <c r="O54" s="517"/>
      <c r="P54" s="287"/>
      <c r="Q54" s="517"/>
      <c r="R54" s="518"/>
      <c r="S54" s="519">
        <v>0</v>
      </c>
      <c r="T54" s="520">
        <v>0</v>
      </c>
      <c r="U54" s="520">
        <v>1</v>
      </c>
      <c r="V54" s="520">
        <v>0</v>
      </c>
      <c r="W54" s="515">
        <v>0</v>
      </c>
      <c r="X54" s="515">
        <v>0</v>
      </c>
      <c r="Y54" s="521">
        <v>0</v>
      </c>
      <c r="AA54" s="506" t="s">
        <v>80</v>
      </c>
      <c r="AB54" s="511">
        <f>SUM(W55:W63)</f>
        <v>0</v>
      </c>
    </row>
    <row r="55" spans="2:28">
      <c r="B55" s="522">
        <v>12028.6</v>
      </c>
      <c r="C55" s="523" t="s">
        <v>52</v>
      </c>
      <c r="D55" s="523">
        <v>1</v>
      </c>
      <c r="E55" s="523" t="s">
        <v>396</v>
      </c>
      <c r="F55" s="523" t="s">
        <v>276</v>
      </c>
      <c r="G55" s="523" t="s">
        <v>77</v>
      </c>
      <c r="H55" s="529" t="s">
        <v>17</v>
      </c>
      <c r="I55" s="529" t="s">
        <v>26</v>
      </c>
      <c r="J55" s="524" t="s">
        <v>258</v>
      </c>
      <c r="K55" s="525" t="s">
        <v>279</v>
      </c>
      <c r="L55" s="540" t="s">
        <v>27</v>
      </c>
      <c r="M55" s="524"/>
      <c r="N55" s="526"/>
      <c r="O55" s="526"/>
      <c r="P55" s="524"/>
      <c r="Q55" s="526"/>
      <c r="R55" s="527"/>
      <c r="S55" s="528">
        <v>0</v>
      </c>
      <c r="T55" s="529">
        <v>0</v>
      </c>
      <c r="U55" s="529">
        <v>2</v>
      </c>
      <c r="V55" s="529">
        <v>0</v>
      </c>
      <c r="W55" s="523">
        <v>0</v>
      </c>
      <c r="X55" s="523">
        <v>0</v>
      </c>
      <c r="Y55" s="530">
        <v>0</v>
      </c>
      <c r="AA55" s="503" t="s">
        <v>79</v>
      </c>
      <c r="AB55" s="512">
        <f>SUM(X55:X63)</f>
        <v>1</v>
      </c>
    </row>
    <row r="56" spans="2:28" ht="15.75" thickBot="1">
      <c r="B56" s="275">
        <v>12028.7</v>
      </c>
      <c r="C56" s="276" t="s">
        <v>52</v>
      </c>
      <c r="D56" s="276">
        <v>1</v>
      </c>
      <c r="E56" s="276" t="s">
        <v>396</v>
      </c>
      <c r="F56" s="276" t="s">
        <v>276</v>
      </c>
      <c r="G56" s="276" t="s">
        <v>77</v>
      </c>
      <c r="H56" s="282" t="s">
        <v>17</v>
      </c>
      <c r="I56" s="282" t="s">
        <v>26</v>
      </c>
      <c r="J56" s="277" t="s">
        <v>258</v>
      </c>
      <c r="K56" s="278" t="s">
        <v>279</v>
      </c>
      <c r="L56" s="538" t="s">
        <v>27</v>
      </c>
      <c r="M56" s="277"/>
      <c r="N56" s="279"/>
      <c r="O56" s="279"/>
      <c r="P56" s="277"/>
      <c r="Q56" s="279"/>
      <c r="R56" s="280"/>
      <c r="S56" s="281">
        <v>0</v>
      </c>
      <c r="T56" s="282">
        <v>0</v>
      </c>
      <c r="U56" s="282">
        <v>2</v>
      </c>
      <c r="V56" s="282">
        <v>0</v>
      </c>
      <c r="W56" s="276">
        <v>0</v>
      </c>
      <c r="X56" s="276">
        <v>0</v>
      </c>
      <c r="Y56" s="283">
        <v>0</v>
      </c>
      <c r="AA56" s="504" t="s">
        <v>103</v>
      </c>
      <c r="AB56" s="513">
        <f>SUM(Y55:Y63)</f>
        <v>0</v>
      </c>
    </row>
    <row r="57" spans="2:28" ht="15.75" thickBot="1">
      <c r="B57" s="275">
        <v>12040.1</v>
      </c>
      <c r="C57" s="276" t="s">
        <v>45</v>
      </c>
      <c r="D57" s="276">
        <v>2</v>
      </c>
      <c r="E57" s="276" t="s">
        <v>396</v>
      </c>
      <c r="F57" s="276" t="s">
        <v>277</v>
      </c>
      <c r="G57" s="276" t="s">
        <v>65</v>
      </c>
      <c r="H57" s="282" t="s">
        <v>17</v>
      </c>
      <c r="I57" s="282" t="s">
        <v>64</v>
      </c>
      <c r="J57" s="277" t="s">
        <v>258</v>
      </c>
      <c r="K57" s="278" t="s">
        <v>279</v>
      </c>
      <c r="L57" s="538" t="s">
        <v>27</v>
      </c>
      <c r="M57" s="277"/>
      <c r="N57" s="279"/>
      <c r="O57" s="279"/>
      <c r="P57" s="277"/>
      <c r="Q57" s="279"/>
      <c r="R57" s="280"/>
      <c r="S57" s="281">
        <v>0</v>
      </c>
      <c r="T57" s="282">
        <v>0</v>
      </c>
      <c r="U57" s="282">
        <v>1</v>
      </c>
      <c r="V57" s="282">
        <v>0</v>
      </c>
      <c r="W57" s="276">
        <v>0</v>
      </c>
      <c r="X57" s="276">
        <v>0</v>
      </c>
      <c r="Y57" s="283">
        <v>0</v>
      </c>
      <c r="AA57" s="301"/>
      <c r="AB57" s="301"/>
    </row>
    <row r="58" spans="2:28">
      <c r="B58" s="275">
        <v>12040.2</v>
      </c>
      <c r="C58" s="276" t="s">
        <v>52</v>
      </c>
      <c r="D58" s="276">
        <v>2</v>
      </c>
      <c r="E58" s="276" t="s">
        <v>396</v>
      </c>
      <c r="F58" s="276" t="s">
        <v>277</v>
      </c>
      <c r="G58" s="276" t="s">
        <v>65</v>
      </c>
      <c r="H58" s="282" t="s">
        <v>17</v>
      </c>
      <c r="I58" s="282" t="s">
        <v>64</v>
      </c>
      <c r="J58" s="277" t="s">
        <v>258</v>
      </c>
      <c r="K58" s="278" t="s">
        <v>279</v>
      </c>
      <c r="L58" s="538" t="s">
        <v>27</v>
      </c>
      <c r="M58" s="277"/>
      <c r="N58" s="279"/>
      <c r="O58" s="279"/>
      <c r="P58" s="277"/>
      <c r="Q58" s="279"/>
      <c r="R58" s="280"/>
      <c r="S58" s="281">
        <v>0</v>
      </c>
      <c r="T58" s="282">
        <v>0</v>
      </c>
      <c r="U58" s="282">
        <v>2</v>
      </c>
      <c r="V58" s="282">
        <v>0</v>
      </c>
      <c r="W58" s="276">
        <v>0</v>
      </c>
      <c r="X58" s="276">
        <v>0</v>
      </c>
      <c r="Y58" s="283">
        <v>0</v>
      </c>
      <c r="AA58" s="507" t="s">
        <v>252</v>
      </c>
      <c r="AB58" s="510" t="s">
        <v>408</v>
      </c>
    </row>
    <row r="59" spans="2:28">
      <c r="B59" s="275">
        <v>12040.3</v>
      </c>
      <c r="C59" s="276" t="s">
        <v>25</v>
      </c>
      <c r="D59" s="276">
        <v>2</v>
      </c>
      <c r="E59" s="276" t="s">
        <v>396</v>
      </c>
      <c r="F59" s="276" t="s">
        <v>277</v>
      </c>
      <c r="G59" s="276" t="s">
        <v>65</v>
      </c>
      <c r="H59" s="282" t="s">
        <v>17</v>
      </c>
      <c r="I59" s="282" t="s">
        <v>64</v>
      </c>
      <c r="J59" s="277" t="s">
        <v>258</v>
      </c>
      <c r="K59" s="278" t="s">
        <v>279</v>
      </c>
      <c r="L59" s="538" t="s">
        <v>25</v>
      </c>
      <c r="M59" s="277"/>
      <c r="N59" s="279"/>
      <c r="O59" s="279"/>
      <c r="P59" s="277"/>
      <c r="Q59" s="279"/>
      <c r="R59" s="280"/>
      <c r="S59" s="281">
        <v>1</v>
      </c>
      <c r="T59" s="282">
        <v>0</v>
      </c>
      <c r="U59" s="282">
        <v>2</v>
      </c>
      <c r="V59" s="282">
        <v>0</v>
      </c>
      <c r="W59" s="276">
        <v>0</v>
      </c>
      <c r="X59" s="276">
        <v>0</v>
      </c>
      <c r="Y59" s="283">
        <v>0</v>
      </c>
      <c r="AA59" s="506" t="s">
        <v>84</v>
      </c>
      <c r="AB59" s="511">
        <f>SUM(S6:S63)</f>
        <v>16</v>
      </c>
    </row>
    <row r="60" spans="2:28">
      <c r="B60" s="275">
        <v>12040.4</v>
      </c>
      <c r="C60" s="276" t="s">
        <v>25</v>
      </c>
      <c r="D60" s="276">
        <v>1</v>
      </c>
      <c r="E60" s="276" t="s">
        <v>396</v>
      </c>
      <c r="F60" s="276" t="s">
        <v>277</v>
      </c>
      <c r="G60" s="276" t="s">
        <v>28</v>
      </c>
      <c r="H60" s="282" t="s">
        <v>17</v>
      </c>
      <c r="I60" s="282" t="s">
        <v>64</v>
      </c>
      <c r="J60" s="277" t="s">
        <v>258</v>
      </c>
      <c r="K60" s="278" t="s">
        <v>279</v>
      </c>
      <c r="L60" s="538" t="s">
        <v>25</v>
      </c>
      <c r="M60" s="277"/>
      <c r="N60" s="279"/>
      <c r="O60" s="279"/>
      <c r="P60" s="277"/>
      <c r="Q60" s="279"/>
      <c r="R60" s="280"/>
      <c r="S60" s="281">
        <v>1</v>
      </c>
      <c r="T60" s="282">
        <v>0</v>
      </c>
      <c r="U60" s="282">
        <v>2</v>
      </c>
      <c r="V60" s="282">
        <v>0</v>
      </c>
      <c r="W60" s="276">
        <v>0</v>
      </c>
      <c r="X60" s="276">
        <v>0</v>
      </c>
      <c r="Y60" s="283">
        <v>0</v>
      </c>
      <c r="AA60" s="503" t="s">
        <v>83</v>
      </c>
      <c r="AB60" s="512">
        <f>SUM(T6:T63)</f>
        <v>18</v>
      </c>
    </row>
    <row r="61" spans="2:28">
      <c r="B61" s="275">
        <v>12040.5</v>
      </c>
      <c r="C61" s="276" t="s">
        <v>58</v>
      </c>
      <c r="D61" s="276">
        <v>1</v>
      </c>
      <c r="E61" s="276" t="s">
        <v>396</v>
      </c>
      <c r="F61" s="276" t="s">
        <v>277</v>
      </c>
      <c r="G61" s="276" t="s">
        <v>28</v>
      </c>
      <c r="H61" s="282" t="s">
        <v>17</v>
      </c>
      <c r="I61" s="282" t="s">
        <v>64</v>
      </c>
      <c r="J61" s="277" t="s">
        <v>258</v>
      </c>
      <c r="K61" s="278" t="s">
        <v>279</v>
      </c>
      <c r="L61" s="538" t="s">
        <v>27</v>
      </c>
      <c r="M61" s="277"/>
      <c r="N61" s="279"/>
      <c r="O61" s="279"/>
      <c r="P61" s="277"/>
      <c r="Q61" s="279"/>
      <c r="R61" s="280"/>
      <c r="S61" s="281">
        <v>0</v>
      </c>
      <c r="T61" s="282">
        <v>0</v>
      </c>
      <c r="U61" s="282">
        <v>2</v>
      </c>
      <c r="V61" s="282">
        <v>0</v>
      </c>
      <c r="W61" s="276">
        <v>0</v>
      </c>
      <c r="X61" s="276">
        <v>0</v>
      </c>
      <c r="Y61" s="283">
        <v>0</v>
      </c>
      <c r="AA61" s="503" t="s">
        <v>82</v>
      </c>
      <c r="AB61" s="512">
        <f>SUM(U6:U63)</f>
        <v>56</v>
      </c>
    </row>
    <row r="62" spans="2:28">
      <c r="B62" s="275">
        <v>12040.6</v>
      </c>
      <c r="C62" s="276" t="s">
        <v>53</v>
      </c>
      <c r="D62" s="276">
        <v>1</v>
      </c>
      <c r="E62" s="276" t="s">
        <v>396</v>
      </c>
      <c r="F62" s="276" t="s">
        <v>277</v>
      </c>
      <c r="G62" s="276" t="s">
        <v>28</v>
      </c>
      <c r="H62" s="282" t="s">
        <v>17</v>
      </c>
      <c r="I62" s="282" t="s">
        <v>64</v>
      </c>
      <c r="J62" s="277" t="s">
        <v>258</v>
      </c>
      <c r="K62" s="278" t="s">
        <v>279</v>
      </c>
      <c r="L62" s="538" t="s">
        <v>27</v>
      </c>
      <c r="M62" s="277"/>
      <c r="N62" s="279"/>
      <c r="O62" s="279"/>
      <c r="P62" s="277"/>
      <c r="Q62" s="279"/>
      <c r="R62" s="280"/>
      <c r="S62" s="281">
        <v>0</v>
      </c>
      <c r="T62" s="282">
        <v>0</v>
      </c>
      <c r="U62" s="282">
        <v>1</v>
      </c>
      <c r="V62" s="282">
        <v>0</v>
      </c>
      <c r="W62" s="276">
        <v>0</v>
      </c>
      <c r="X62" s="276">
        <v>0</v>
      </c>
      <c r="Y62" s="283">
        <v>0</v>
      </c>
      <c r="AA62" s="503" t="s">
        <v>81</v>
      </c>
      <c r="AB62" s="512">
        <f>SUM(V6:V63)</f>
        <v>12</v>
      </c>
    </row>
    <row r="63" spans="2:28" ht="15.75" thickBot="1">
      <c r="B63" s="285">
        <v>10201</v>
      </c>
      <c r="C63" s="286" t="s">
        <v>55</v>
      </c>
      <c r="D63" s="286">
        <v>5</v>
      </c>
      <c r="E63" s="276" t="s">
        <v>396</v>
      </c>
      <c r="F63" s="286" t="s">
        <v>266</v>
      </c>
      <c r="G63" s="286" t="s">
        <v>281</v>
      </c>
      <c r="H63" s="286" t="s">
        <v>267</v>
      </c>
      <c r="I63" s="286" t="s">
        <v>43</v>
      </c>
      <c r="J63" s="287" t="s">
        <v>258</v>
      </c>
      <c r="K63" s="278" t="s">
        <v>279</v>
      </c>
      <c r="L63" s="288" t="s">
        <v>31</v>
      </c>
      <c r="M63" s="289"/>
      <c r="N63" s="290"/>
      <c r="O63" s="290" t="s">
        <v>42</v>
      </c>
      <c r="P63" s="290"/>
      <c r="Q63" s="290"/>
      <c r="R63" s="291"/>
      <c r="S63" s="292">
        <v>0</v>
      </c>
      <c r="T63" s="293">
        <v>0</v>
      </c>
      <c r="U63" s="293">
        <v>0</v>
      </c>
      <c r="V63" s="293">
        <v>1</v>
      </c>
      <c r="W63" s="286">
        <v>0</v>
      </c>
      <c r="X63" s="286">
        <v>1</v>
      </c>
      <c r="Y63" s="294">
        <v>0</v>
      </c>
      <c r="AA63" s="506" t="s">
        <v>80</v>
      </c>
      <c r="AB63" s="511">
        <f>SUM(W6:W63)</f>
        <v>0</v>
      </c>
    </row>
    <row r="64" spans="2:28">
      <c r="B64" s="531"/>
      <c r="C64" s="532"/>
      <c r="D64" s="532"/>
      <c r="E64" s="532"/>
      <c r="F64" s="532"/>
      <c r="G64" s="532"/>
      <c r="H64" s="532"/>
      <c r="I64" s="532"/>
      <c r="J64" s="532"/>
      <c r="K64" s="533"/>
      <c r="L64" s="534"/>
      <c r="M64" s="532" t="s">
        <v>87</v>
      </c>
      <c r="N64" s="532" t="s">
        <v>86</v>
      </c>
      <c r="O64" s="532" t="s">
        <v>42</v>
      </c>
      <c r="P64" s="532" t="s">
        <v>46</v>
      </c>
      <c r="Q64" s="532" t="s">
        <v>69</v>
      </c>
      <c r="R64" s="535" t="s">
        <v>85</v>
      </c>
      <c r="S64" s="536" t="s">
        <v>84</v>
      </c>
      <c r="T64" s="532" t="s">
        <v>83</v>
      </c>
      <c r="U64" s="532" t="s">
        <v>82</v>
      </c>
      <c r="V64" s="532" t="s">
        <v>81</v>
      </c>
      <c r="W64" s="532" t="s">
        <v>80</v>
      </c>
      <c r="X64" s="532" t="s">
        <v>79</v>
      </c>
      <c r="Y64" s="535" t="s">
        <v>103</v>
      </c>
      <c r="AA64" s="503" t="s">
        <v>79</v>
      </c>
      <c r="AB64" s="512">
        <f>SUM(X6:X63)</f>
        <v>1</v>
      </c>
    </row>
    <row r="65" spans="2:28" ht="15.75" thickBot="1">
      <c r="B65" s="295"/>
      <c r="C65" s="266"/>
      <c r="D65" s="266"/>
      <c r="E65" s="266"/>
      <c r="F65" s="266"/>
      <c r="G65" s="266"/>
      <c r="H65" s="266"/>
      <c r="I65" s="266"/>
      <c r="J65" s="266"/>
      <c r="K65" s="296"/>
      <c r="L65" s="297" t="s">
        <v>268</v>
      </c>
      <c r="M65" s="266">
        <f t="shared" ref="M65:R65" si="0">COUNTA(M6:M63)</f>
        <v>2</v>
      </c>
      <c r="N65" s="266">
        <f t="shared" si="0"/>
        <v>1</v>
      </c>
      <c r="O65" s="266">
        <f t="shared" si="0"/>
        <v>2</v>
      </c>
      <c r="P65" s="266">
        <f t="shared" si="0"/>
        <v>4</v>
      </c>
      <c r="Q65" s="266">
        <f t="shared" si="0"/>
        <v>1</v>
      </c>
      <c r="R65" s="298">
        <f t="shared" si="0"/>
        <v>0</v>
      </c>
      <c r="S65" s="299">
        <f t="shared" ref="S65:Y65" si="1">SUM(S6:S63)</f>
        <v>16</v>
      </c>
      <c r="T65" s="266">
        <f t="shared" si="1"/>
        <v>18</v>
      </c>
      <c r="U65" s="266">
        <f t="shared" si="1"/>
        <v>56</v>
      </c>
      <c r="V65" s="266">
        <f t="shared" si="1"/>
        <v>12</v>
      </c>
      <c r="W65" s="266">
        <f t="shared" si="1"/>
        <v>0</v>
      </c>
      <c r="X65" s="266">
        <f t="shared" si="1"/>
        <v>1</v>
      </c>
      <c r="Y65" s="298">
        <f t="shared" si="1"/>
        <v>1</v>
      </c>
      <c r="AA65" s="504" t="s">
        <v>103</v>
      </c>
      <c r="AB65" s="513">
        <f>SUM(Y6:Y63)</f>
        <v>1</v>
      </c>
    </row>
    <row r="68" spans="2:28">
      <c r="T68" s="248"/>
      <c r="U68" s="248"/>
      <c r="V68" s="248"/>
      <c r="Y68" s="248"/>
    </row>
    <row r="69" spans="2:28">
      <c r="P69" s="248"/>
      <c r="R69" s="248"/>
      <c r="Y69" s="248"/>
    </row>
    <row r="70" spans="2:28">
      <c r="N70" s="249"/>
      <c r="O70" s="249"/>
      <c r="Q70" s="249"/>
    </row>
  </sheetData>
  <mergeCells count="2">
    <mergeCell ref="L4:R4"/>
    <mergeCell ref="S4:Y4"/>
  </mergeCells>
  <printOptions horizontalCentered="1"/>
  <pageMargins left="0.75" right="0.25" top="0.75" bottom="0.75" header="0.3" footer="0.3"/>
  <pageSetup paperSize="3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40"/>
  <sheetViews>
    <sheetView topLeftCell="A19" workbookViewId="0">
      <selection activeCell="J25" sqref="J25"/>
    </sheetView>
  </sheetViews>
  <sheetFormatPr defaultRowHeight="15"/>
  <cols>
    <col min="2" max="2" width="26.85546875" customWidth="1"/>
    <col min="3" max="5" width="17.28515625" customWidth="1"/>
    <col min="6" max="6" width="10" customWidth="1"/>
    <col min="7" max="7" width="8.42578125" bestFit="1" customWidth="1"/>
    <col min="8" max="9" width="6.85546875" bestFit="1" customWidth="1"/>
    <col min="12" max="12" width="19.7109375" bestFit="1" customWidth="1"/>
    <col min="13" max="13" width="7.140625" bestFit="1" customWidth="1"/>
    <col min="14" max="14" width="10.5703125" bestFit="1" customWidth="1"/>
    <col min="15" max="15" width="6.140625" bestFit="1" customWidth="1"/>
    <col min="16" max="16" width="8.7109375" bestFit="1" customWidth="1"/>
    <col min="17" max="17" width="17.28515625" bestFit="1" customWidth="1"/>
    <col min="18" max="18" width="4.140625" bestFit="1" customWidth="1"/>
    <col min="19" max="19" width="5.140625" bestFit="1" customWidth="1"/>
    <col min="20" max="20" width="6.85546875" bestFit="1" customWidth="1"/>
  </cols>
  <sheetData>
    <row r="3" spans="1:7">
      <c r="B3" t="s">
        <v>41</v>
      </c>
    </row>
    <row r="4" spans="1:7">
      <c r="B4" t="s">
        <v>137</v>
      </c>
      <c r="D4" t="s">
        <v>144</v>
      </c>
      <c r="E4" s="241">
        <v>41273</v>
      </c>
    </row>
    <row r="5" spans="1:7">
      <c r="E5" s="139"/>
    </row>
    <row r="6" spans="1:7" ht="30" customHeight="1">
      <c r="B6" s="562" t="s">
        <v>415</v>
      </c>
      <c r="C6" s="562"/>
      <c r="D6" s="562"/>
      <c r="E6" s="562"/>
      <c r="F6" s="562"/>
    </row>
    <row r="7" spans="1:7" ht="15.75" thickBot="1"/>
    <row r="8" spans="1:7">
      <c r="B8" s="14" t="s">
        <v>0</v>
      </c>
      <c r="C8" s="123" t="s">
        <v>13</v>
      </c>
      <c r="D8" s="124"/>
      <c r="E8" s="84" t="s">
        <v>119</v>
      </c>
      <c r="F8" s="131">
        <v>78910</v>
      </c>
    </row>
    <row r="9" spans="1:7" ht="15.75" thickBot="1">
      <c r="B9" s="9" t="s">
        <v>1</v>
      </c>
      <c r="C9" s="125" t="s">
        <v>134</v>
      </c>
      <c r="D9" s="126"/>
      <c r="E9" s="127" t="s">
        <v>120</v>
      </c>
      <c r="F9" s="132">
        <v>12346</v>
      </c>
    </row>
    <row r="10" spans="1:7" ht="15.75" thickBot="1">
      <c r="A10" s="12"/>
      <c r="B10" s="12"/>
      <c r="C10" s="1"/>
      <c r="D10" s="1"/>
      <c r="F10" s="1"/>
    </row>
    <row r="11" spans="1:7" ht="15.75" thickBot="1">
      <c r="A11" s="12"/>
      <c r="B11" s="547" t="s">
        <v>111</v>
      </c>
      <c r="C11" s="548"/>
      <c r="D11" s="548"/>
      <c r="E11" s="549"/>
      <c r="F11" s="548"/>
      <c r="G11" s="550"/>
    </row>
    <row r="12" spans="1:7" ht="26.25">
      <c r="A12" s="12"/>
      <c r="B12" s="14"/>
      <c r="C12" s="4" t="s">
        <v>14</v>
      </c>
      <c r="D12" s="4" t="s">
        <v>11</v>
      </c>
      <c r="E12" s="128" t="s">
        <v>12</v>
      </c>
      <c r="F12" s="133" t="s">
        <v>423</v>
      </c>
      <c r="G12" s="5" t="s">
        <v>15</v>
      </c>
    </row>
    <row r="13" spans="1:7">
      <c r="A13" s="12"/>
      <c r="B13" s="3" t="s">
        <v>3</v>
      </c>
      <c r="C13" s="7">
        <v>16</v>
      </c>
      <c r="D13" s="7">
        <v>0</v>
      </c>
      <c r="E13" s="7">
        <v>0</v>
      </c>
      <c r="F13" s="7">
        <v>0</v>
      </c>
      <c r="G13" s="8">
        <f>SUM(C13:F13)</f>
        <v>16</v>
      </c>
    </row>
    <row r="14" spans="1:7">
      <c r="A14" s="12"/>
      <c r="B14" s="6" t="s">
        <v>4</v>
      </c>
      <c r="C14" s="7">
        <v>33</v>
      </c>
      <c r="D14" s="7">
        <v>2</v>
      </c>
      <c r="E14" s="7">
        <v>1</v>
      </c>
      <c r="F14" s="7">
        <v>4</v>
      </c>
      <c r="G14" s="8">
        <f t="shared" ref="G14:G17" si="0">SUM(C14:F14)</f>
        <v>40</v>
      </c>
    </row>
    <row r="15" spans="1:7">
      <c r="A15" s="12"/>
      <c r="B15" s="6" t="s">
        <v>6</v>
      </c>
      <c r="C15" s="7">
        <v>1</v>
      </c>
      <c r="D15" s="7">
        <v>0</v>
      </c>
      <c r="E15" s="7">
        <v>0</v>
      </c>
      <c r="F15" s="7">
        <v>0</v>
      </c>
      <c r="G15" s="8">
        <f t="shared" si="0"/>
        <v>1</v>
      </c>
    </row>
    <row r="16" spans="1:7">
      <c r="B16" s="6" t="s">
        <v>5</v>
      </c>
      <c r="C16" s="7">
        <v>1</v>
      </c>
      <c r="D16" s="7">
        <v>0</v>
      </c>
      <c r="E16" s="7">
        <v>0</v>
      </c>
      <c r="F16" s="7">
        <v>0</v>
      </c>
      <c r="G16" s="8">
        <f t="shared" si="0"/>
        <v>1</v>
      </c>
    </row>
    <row r="17" spans="2:8">
      <c r="B17" s="6" t="s">
        <v>7</v>
      </c>
      <c r="C17" s="7">
        <v>0</v>
      </c>
      <c r="D17" s="7">
        <v>0</v>
      </c>
      <c r="E17" s="7">
        <v>0</v>
      </c>
      <c r="F17" s="7">
        <v>0</v>
      </c>
      <c r="G17" s="8">
        <f t="shared" si="0"/>
        <v>0</v>
      </c>
    </row>
    <row r="18" spans="2:8">
      <c r="B18" s="6"/>
      <c r="C18" s="7"/>
      <c r="D18" s="7"/>
      <c r="E18" s="7"/>
      <c r="F18" s="7"/>
      <c r="G18" s="8"/>
    </row>
    <row r="19" spans="2:8" ht="15.75" thickBot="1">
      <c r="B19" s="9" t="s">
        <v>8</v>
      </c>
      <c r="C19" s="10">
        <f>SUM(C13:C17)</f>
        <v>51</v>
      </c>
      <c r="D19" s="10">
        <f t="shared" ref="D19:E19" si="1">SUM(D13:D17)</f>
        <v>2</v>
      </c>
      <c r="E19" s="10">
        <f t="shared" si="1"/>
        <v>1</v>
      </c>
      <c r="F19" s="10">
        <f>SUM(F13:F17)</f>
        <v>4</v>
      </c>
      <c r="G19" s="557">
        <f>SUM(C19:F19)</f>
        <v>58</v>
      </c>
    </row>
    <row r="20" spans="2:8" ht="15.75" thickBot="1"/>
    <row r="21" spans="2:8" ht="15.75" thickBot="1">
      <c r="B21" s="551" t="s">
        <v>117</v>
      </c>
      <c r="C21" s="552"/>
      <c r="D21" s="552"/>
      <c r="E21" s="552"/>
      <c r="F21" s="553"/>
    </row>
    <row r="22" spans="2:8">
      <c r="B22" s="129"/>
      <c r="C22" s="15" t="s">
        <v>17</v>
      </c>
      <c r="D22" s="15" t="s">
        <v>19</v>
      </c>
      <c r="E22" s="15" t="s">
        <v>18</v>
      </c>
      <c r="F22" s="130" t="s">
        <v>15</v>
      </c>
    </row>
    <row r="23" spans="2:8">
      <c r="B23" s="3" t="s">
        <v>112</v>
      </c>
      <c r="C23" s="4">
        <v>40</v>
      </c>
      <c r="D23" s="4">
        <v>50</v>
      </c>
      <c r="E23" s="4">
        <v>1</v>
      </c>
      <c r="F23" s="302">
        <v>91</v>
      </c>
    </row>
    <row r="24" spans="2:8">
      <c r="B24" s="6" t="s">
        <v>25</v>
      </c>
      <c r="C24" s="7">
        <v>6</v>
      </c>
      <c r="D24" s="7">
        <v>10</v>
      </c>
      <c r="E24" s="7">
        <v>0</v>
      </c>
      <c r="F24" s="303">
        <v>16</v>
      </c>
    </row>
    <row r="25" spans="2:8">
      <c r="B25" s="6" t="s">
        <v>114</v>
      </c>
      <c r="C25" s="7">
        <v>0</v>
      </c>
      <c r="D25" s="7">
        <v>0</v>
      </c>
      <c r="E25" s="7">
        <v>1</v>
      </c>
      <c r="F25" s="303">
        <v>1</v>
      </c>
    </row>
    <row r="26" spans="2:8">
      <c r="B26" s="6" t="s">
        <v>113</v>
      </c>
      <c r="C26" s="7">
        <v>0</v>
      </c>
      <c r="D26" s="7">
        <v>0</v>
      </c>
      <c r="E26" s="7">
        <v>0</v>
      </c>
      <c r="F26" s="303">
        <v>0</v>
      </c>
    </row>
    <row r="27" spans="2:8">
      <c r="B27" s="6" t="s">
        <v>115</v>
      </c>
      <c r="C27" s="7">
        <v>0</v>
      </c>
      <c r="D27" s="7">
        <v>0</v>
      </c>
      <c r="E27" s="7">
        <v>0</v>
      </c>
      <c r="F27" s="303">
        <v>0</v>
      </c>
    </row>
    <row r="28" spans="2:8">
      <c r="B28" s="6" t="s">
        <v>116</v>
      </c>
      <c r="C28" s="7">
        <v>0</v>
      </c>
      <c r="D28" s="7">
        <v>1</v>
      </c>
      <c r="E28" s="7">
        <v>0</v>
      </c>
      <c r="F28" s="303">
        <v>1</v>
      </c>
    </row>
    <row r="29" spans="2:8">
      <c r="B29" s="6"/>
      <c r="C29" s="7"/>
      <c r="D29" s="7"/>
      <c r="E29" s="7"/>
      <c r="F29" s="303"/>
    </row>
    <row r="30" spans="2:8" ht="15.75" thickBot="1">
      <c r="B30" s="9" t="s">
        <v>8</v>
      </c>
      <c r="C30" s="10">
        <f>SUM(C23:C28)</f>
        <v>46</v>
      </c>
      <c r="D30" s="10">
        <f t="shared" ref="D30:E30" si="2">SUM(D23:D28)</f>
        <v>61</v>
      </c>
      <c r="E30" s="10">
        <f t="shared" si="2"/>
        <v>2</v>
      </c>
      <c r="F30" s="304">
        <f>SUM(F23:F28)</f>
        <v>109</v>
      </c>
    </row>
    <row r="31" spans="2:8" ht="15.75" thickBot="1">
      <c r="B31" s="12"/>
      <c r="C31" s="1"/>
      <c r="D31" s="1"/>
      <c r="E31" s="1"/>
    </row>
    <row r="32" spans="2:8" ht="15.75" thickBot="1">
      <c r="B32" s="547" t="s">
        <v>118</v>
      </c>
      <c r="C32" s="548"/>
      <c r="D32" s="548"/>
      <c r="E32" s="548"/>
      <c r="F32" s="548"/>
      <c r="G32" s="548"/>
      <c r="H32" s="550"/>
    </row>
    <row r="33" spans="2:8" ht="54.75" customHeight="1">
      <c r="B33" s="14"/>
      <c r="C33" s="15" t="s">
        <v>10</v>
      </c>
      <c r="D33" s="15" t="s">
        <v>16</v>
      </c>
      <c r="E33" s="15" t="s">
        <v>9</v>
      </c>
      <c r="F33" s="15" t="s">
        <v>17</v>
      </c>
      <c r="G33" s="15" t="s">
        <v>19</v>
      </c>
      <c r="H33" s="16" t="s">
        <v>18</v>
      </c>
    </row>
    <row r="34" spans="2:8">
      <c r="B34" s="6" t="s">
        <v>3</v>
      </c>
      <c r="C34" s="7">
        <v>1</v>
      </c>
      <c r="D34" s="7">
        <v>0</v>
      </c>
      <c r="E34" s="7">
        <v>1</v>
      </c>
      <c r="F34" s="7">
        <v>6</v>
      </c>
      <c r="G34" s="7">
        <v>10</v>
      </c>
      <c r="H34" s="8">
        <v>0</v>
      </c>
    </row>
    <row r="35" spans="2:8">
      <c r="B35" s="6" t="s">
        <v>4</v>
      </c>
      <c r="C35" s="7">
        <v>0</v>
      </c>
      <c r="D35" s="7">
        <v>0</v>
      </c>
      <c r="E35" s="7">
        <v>0</v>
      </c>
      <c r="F35" s="7">
        <v>18</v>
      </c>
      <c r="G35" s="7">
        <v>22</v>
      </c>
      <c r="H35" s="8">
        <v>0</v>
      </c>
    </row>
    <row r="36" spans="2:8">
      <c r="B36" s="6" t="s">
        <v>6</v>
      </c>
      <c r="C36" s="7">
        <v>0</v>
      </c>
      <c r="D36" s="7">
        <v>0</v>
      </c>
      <c r="E36" s="7">
        <v>1</v>
      </c>
      <c r="F36" s="7">
        <v>0</v>
      </c>
      <c r="G36" s="7">
        <v>0</v>
      </c>
      <c r="H36" s="8">
        <v>1</v>
      </c>
    </row>
    <row r="37" spans="2:8">
      <c r="B37" s="6" t="s">
        <v>5</v>
      </c>
      <c r="C37" s="7">
        <v>0</v>
      </c>
      <c r="D37" s="7">
        <v>0</v>
      </c>
      <c r="E37" s="7">
        <v>0</v>
      </c>
      <c r="F37" s="7">
        <v>0</v>
      </c>
      <c r="G37" s="7">
        <v>1</v>
      </c>
      <c r="H37" s="8">
        <v>0</v>
      </c>
    </row>
    <row r="38" spans="2:8">
      <c r="B38" s="6" t="s">
        <v>7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8">
        <v>0</v>
      </c>
    </row>
    <row r="39" spans="2:8">
      <c r="B39" s="6"/>
      <c r="C39" s="7"/>
      <c r="D39" s="7"/>
      <c r="E39" s="7"/>
      <c r="F39" s="7"/>
      <c r="G39" s="7"/>
      <c r="H39" s="8"/>
    </row>
    <row r="40" spans="2:8" ht="15.75" thickBot="1">
      <c r="B40" s="9" t="s">
        <v>8</v>
      </c>
      <c r="C40" s="10">
        <f>SUM(C34:C38)</f>
        <v>1</v>
      </c>
      <c r="D40" s="10">
        <f t="shared" ref="D40:E40" si="3">SUM(D34:D38)</f>
        <v>0</v>
      </c>
      <c r="E40" s="10">
        <f t="shared" si="3"/>
        <v>2</v>
      </c>
      <c r="F40" s="10">
        <f>SUM(F34:F38)</f>
        <v>24</v>
      </c>
      <c r="G40" s="10">
        <f>SUM(G34:G38)</f>
        <v>33</v>
      </c>
      <c r="H40" s="11">
        <f>SUM(H34:H38)</f>
        <v>1</v>
      </c>
    </row>
  </sheetData>
  <mergeCells count="1">
    <mergeCell ref="B6:F6"/>
  </mergeCells>
  <pageMargins left="0.7" right="0.7" top="0.75" bottom="0.75" header="0.3" footer="0.3"/>
  <pageSetup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9"/>
  <sheetViews>
    <sheetView workbookViewId="0">
      <selection activeCell="B12" sqref="B12:F12"/>
    </sheetView>
  </sheetViews>
  <sheetFormatPr defaultRowHeight="15"/>
  <cols>
    <col min="2" max="2" width="16.5703125" customWidth="1"/>
    <col min="3" max="3" width="27.140625" customWidth="1"/>
    <col min="4" max="4" width="11.42578125" customWidth="1"/>
    <col min="5" max="5" width="6.5703125" customWidth="1"/>
    <col min="6" max="6" width="17.85546875" bestFit="1" customWidth="1"/>
  </cols>
  <sheetData>
    <row r="3" spans="2:12">
      <c r="B3" t="s">
        <v>41</v>
      </c>
    </row>
    <row r="4" spans="2:12">
      <c r="B4" t="s">
        <v>138</v>
      </c>
      <c r="E4" t="s">
        <v>145</v>
      </c>
      <c r="F4" s="241">
        <v>41273</v>
      </c>
    </row>
    <row r="5" spans="2:12" ht="15.75" thickBot="1"/>
    <row r="6" spans="2:12">
      <c r="B6" s="14" t="s">
        <v>131</v>
      </c>
      <c r="C6" s="141">
        <v>40912</v>
      </c>
      <c r="G6" s="139"/>
      <c r="H6" s="139"/>
      <c r="I6" s="139"/>
      <c r="J6" s="139"/>
      <c r="K6" s="139"/>
      <c r="L6" s="139"/>
    </row>
    <row r="7" spans="2:12" ht="15.75" thickBot="1">
      <c r="B7" s="9" t="s">
        <v>132</v>
      </c>
      <c r="C7" s="142" t="s">
        <v>278</v>
      </c>
      <c r="G7" s="139"/>
      <c r="H7" s="139"/>
      <c r="I7" s="139"/>
      <c r="J7" s="139"/>
      <c r="K7" s="139"/>
      <c r="L7" s="139"/>
    </row>
    <row r="8" spans="2:12" ht="15.75" thickBot="1"/>
    <row r="9" spans="2:12">
      <c r="B9" s="14" t="s">
        <v>0</v>
      </c>
      <c r="C9" s="123" t="s">
        <v>13</v>
      </c>
      <c r="D9" s="124"/>
      <c r="E9" s="84" t="s">
        <v>119</v>
      </c>
      <c r="F9" s="131">
        <v>78910</v>
      </c>
    </row>
    <row r="10" spans="2:12" ht="15.75" thickBot="1">
      <c r="B10" s="9" t="s">
        <v>1</v>
      </c>
      <c r="C10" s="125" t="s">
        <v>134</v>
      </c>
      <c r="D10" s="126"/>
      <c r="E10" s="127" t="s">
        <v>120</v>
      </c>
      <c r="F10" s="132">
        <v>12346</v>
      </c>
    </row>
    <row r="11" spans="2:12" ht="15.75" thickBot="1">
      <c r="C11" s="12"/>
      <c r="D11" s="1"/>
      <c r="E11" s="1"/>
    </row>
    <row r="12" spans="2:12" ht="18.75" customHeight="1" thickBot="1">
      <c r="B12" s="554" t="s">
        <v>125</v>
      </c>
      <c r="C12" s="555"/>
      <c r="D12" s="568" t="s">
        <v>126</v>
      </c>
      <c r="E12" s="569"/>
      <c r="F12" s="556" t="s">
        <v>127</v>
      </c>
    </row>
    <row r="13" spans="2:12" ht="30">
      <c r="B13" s="570" t="s">
        <v>129</v>
      </c>
      <c r="C13" s="305" t="s">
        <v>283</v>
      </c>
      <c r="D13" s="572">
        <v>15</v>
      </c>
      <c r="E13" s="573"/>
      <c r="F13" s="306">
        <v>15</v>
      </c>
    </row>
    <row r="14" spans="2:12">
      <c r="B14" s="571"/>
      <c r="C14" s="6" t="s">
        <v>3</v>
      </c>
      <c r="D14" s="563">
        <v>2</v>
      </c>
      <c r="E14" s="564"/>
      <c r="F14" s="8">
        <v>2</v>
      </c>
    </row>
    <row r="15" spans="2:12">
      <c r="B15" s="571"/>
      <c r="C15" s="6" t="s">
        <v>6</v>
      </c>
      <c r="D15" s="563">
        <v>0</v>
      </c>
      <c r="E15" s="564"/>
      <c r="F15" s="8">
        <v>0</v>
      </c>
    </row>
    <row r="16" spans="2:12">
      <c r="B16" s="571"/>
      <c r="C16" s="6" t="s">
        <v>7</v>
      </c>
      <c r="D16" s="563">
        <v>0</v>
      </c>
      <c r="E16" s="564"/>
      <c r="F16" s="8">
        <v>0</v>
      </c>
    </row>
    <row r="17" spans="2:6">
      <c r="B17" s="571"/>
      <c r="C17" s="6" t="s">
        <v>124</v>
      </c>
      <c r="D17" s="563">
        <v>0</v>
      </c>
      <c r="E17" s="564"/>
      <c r="F17" s="8">
        <v>0</v>
      </c>
    </row>
    <row r="18" spans="2:6" ht="8.25" customHeight="1">
      <c r="B18" s="571"/>
      <c r="C18" s="6"/>
      <c r="D18" s="563"/>
      <c r="E18" s="564"/>
      <c r="F18" s="8"/>
    </row>
    <row r="19" spans="2:6" ht="15.75" thickBot="1">
      <c r="B19" s="571"/>
      <c r="C19" s="140" t="s">
        <v>128</v>
      </c>
      <c r="D19" s="565">
        <f>SUM(D13:E17)</f>
        <v>17</v>
      </c>
      <c r="E19" s="566"/>
      <c r="F19" s="11">
        <f>SUM(F13:F17)</f>
        <v>17</v>
      </c>
    </row>
    <row r="20" spans="2:6" ht="30">
      <c r="B20" s="570" t="s">
        <v>130</v>
      </c>
      <c r="C20" s="305" t="s">
        <v>283</v>
      </c>
      <c r="D20" s="563">
        <v>1</v>
      </c>
      <c r="E20" s="564"/>
      <c r="F20" s="306">
        <v>1</v>
      </c>
    </row>
    <row r="21" spans="2:6">
      <c r="B21" s="571"/>
      <c r="C21" s="6" t="s">
        <v>3</v>
      </c>
      <c r="D21" s="563">
        <v>0</v>
      </c>
      <c r="E21" s="564"/>
      <c r="F21" s="8">
        <v>0</v>
      </c>
    </row>
    <row r="22" spans="2:6">
      <c r="B22" s="571"/>
      <c r="C22" s="6" t="s">
        <v>6</v>
      </c>
      <c r="D22" s="563">
        <v>1</v>
      </c>
      <c r="E22" s="564"/>
      <c r="F22" s="8">
        <v>1</v>
      </c>
    </row>
    <row r="23" spans="2:6">
      <c r="B23" s="571"/>
      <c r="C23" s="6" t="s">
        <v>7</v>
      </c>
      <c r="D23" s="563">
        <v>0</v>
      </c>
      <c r="E23" s="564"/>
      <c r="F23" s="8">
        <v>0</v>
      </c>
    </row>
    <row r="24" spans="2:6">
      <c r="B24" s="571"/>
      <c r="C24" s="6" t="s">
        <v>124</v>
      </c>
      <c r="D24" s="563">
        <v>0</v>
      </c>
      <c r="E24" s="564"/>
      <c r="F24" s="8">
        <v>0</v>
      </c>
    </row>
    <row r="25" spans="2:6" ht="8.25" customHeight="1">
      <c r="B25" s="571"/>
      <c r="C25" s="6"/>
      <c r="D25" s="563"/>
      <c r="E25" s="564"/>
      <c r="F25" s="8"/>
    </row>
    <row r="26" spans="2:6" ht="15.75" thickBot="1">
      <c r="B26" s="574"/>
      <c r="C26" s="140" t="s">
        <v>128</v>
      </c>
      <c r="D26" s="565">
        <f>SUM(D20:E24)</f>
        <v>2</v>
      </c>
      <c r="E26" s="566"/>
      <c r="F26" s="11">
        <f>SUM(F20:F24)</f>
        <v>2</v>
      </c>
    </row>
    <row r="28" spans="2:6">
      <c r="B28" s="546" t="s">
        <v>416</v>
      </c>
      <c r="C28" s="546"/>
      <c r="D28" s="546"/>
      <c r="E28" s="546"/>
      <c r="F28" s="546"/>
    </row>
    <row r="29" spans="2:6" ht="30" customHeight="1">
      <c r="B29" s="567" t="s">
        <v>417</v>
      </c>
      <c r="C29" s="567"/>
      <c r="D29" s="567"/>
      <c r="E29" s="567"/>
      <c r="F29" s="567"/>
    </row>
  </sheetData>
  <mergeCells count="18">
    <mergeCell ref="D12:E12"/>
    <mergeCell ref="B13:B19"/>
    <mergeCell ref="D20:E20"/>
    <mergeCell ref="D18:E18"/>
    <mergeCell ref="D19:E19"/>
    <mergeCell ref="D13:E13"/>
    <mergeCell ref="D14:E14"/>
    <mergeCell ref="D15:E15"/>
    <mergeCell ref="B20:B26"/>
    <mergeCell ref="D22:E22"/>
    <mergeCell ref="D23:E23"/>
    <mergeCell ref="D24:E24"/>
    <mergeCell ref="D25:E25"/>
    <mergeCell ref="D26:E26"/>
    <mergeCell ref="B29:F29"/>
    <mergeCell ref="D16:E16"/>
    <mergeCell ref="D17:E17"/>
    <mergeCell ref="D21:E2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O45"/>
  <sheetViews>
    <sheetView workbookViewId="0">
      <selection activeCell="B40" sqref="B40:L40"/>
    </sheetView>
  </sheetViews>
  <sheetFormatPr defaultRowHeight="15"/>
  <cols>
    <col min="2" max="2" width="10.85546875" customWidth="1"/>
    <col min="3" max="3" width="8.28515625" customWidth="1"/>
    <col min="6" max="6" width="9.5703125" bestFit="1" customWidth="1"/>
    <col min="7" max="7" width="10.28515625" customWidth="1"/>
    <col min="11" max="11" width="10.28515625" customWidth="1"/>
    <col min="12" max="12" width="9.5703125" bestFit="1" customWidth="1"/>
    <col min="13" max="13" width="11.85546875" customWidth="1"/>
  </cols>
  <sheetData>
    <row r="3" spans="2:15">
      <c r="B3" t="s">
        <v>41</v>
      </c>
      <c r="J3" t="s">
        <v>145</v>
      </c>
      <c r="K3" s="575">
        <v>41273</v>
      </c>
      <c r="L3" s="575"/>
    </row>
    <row r="4" spans="2:15">
      <c r="B4" s="65" t="s">
        <v>142</v>
      </c>
      <c r="F4" t="s">
        <v>122</v>
      </c>
      <c r="G4" s="71" t="s">
        <v>121</v>
      </c>
      <c r="H4" s="71"/>
      <c r="I4" s="71"/>
      <c r="J4" s="139" t="s">
        <v>119</v>
      </c>
      <c r="K4" s="71">
        <v>78910</v>
      </c>
    </row>
    <row r="5" spans="2:15">
      <c r="B5" s="103" t="s">
        <v>245</v>
      </c>
      <c r="C5" s="71"/>
      <c r="F5" t="s">
        <v>1</v>
      </c>
      <c r="G5" s="71" t="s">
        <v>134</v>
      </c>
      <c r="H5" s="71"/>
      <c r="I5" s="71"/>
      <c r="J5" s="139" t="s">
        <v>120</v>
      </c>
      <c r="K5" s="71">
        <v>12346</v>
      </c>
    </row>
    <row r="6" spans="2:15">
      <c r="B6" s="300"/>
      <c r="C6" s="139"/>
      <c r="D6" s="139"/>
      <c r="E6" s="139"/>
      <c r="F6" s="139"/>
      <c r="G6" s="139"/>
      <c r="H6" s="139"/>
      <c r="I6" s="139"/>
      <c r="J6" s="139"/>
      <c r="K6" s="139"/>
      <c r="L6" s="139"/>
    </row>
    <row r="7" spans="2:15">
      <c r="B7" s="103" t="s">
        <v>282</v>
      </c>
      <c r="C7" s="71"/>
      <c r="D7" s="71"/>
      <c r="E7" s="71"/>
      <c r="F7" s="71"/>
      <c r="G7" s="71"/>
      <c r="H7" s="71"/>
      <c r="I7" s="71"/>
      <c r="J7" s="71"/>
      <c r="K7" s="71"/>
    </row>
    <row r="8" spans="2:15" ht="15.75" thickBot="1">
      <c r="B8" s="65"/>
    </row>
    <row r="9" spans="2:15" ht="15.75" thickBot="1">
      <c r="B9" s="580" t="s">
        <v>40</v>
      </c>
      <c r="C9" s="582" t="s">
        <v>39</v>
      </c>
      <c r="D9" s="577" t="s">
        <v>38</v>
      </c>
      <c r="E9" s="578"/>
      <c r="F9" s="578"/>
      <c r="G9" s="579"/>
      <c r="H9" s="577" t="s">
        <v>37</v>
      </c>
      <c r="I9" s="578"/>
      <c r="J9" s="578"/>
      <c r="K9" s="579"/>
      <c r="L9" s="13" t="s">
        <v>8</v>
      </c>
    </row>
    <row r="10" spans="2:15" ht="60.75" thickBot="1">
      <c r="B10" s="581"/>
      <c r="C10" s="583"/>
      <c r="D10" s="134" t="s">
        <v>36</v>
      </c>
      <c r="E10" s="135" t="s">
        <v>35</v>
      </c>
      <c r="F10" s="136" t="s">
        <v>34</v>
      </c>
      <c r="G10" s="137" t="s">
        <v>33</v>
      </c>
      <c r="H10" s="134" t="s">
        <v>36</v>
      </c>
      <c r="I10" s="136" t="s">
        <v>35</v>
      </c>
      <c r="J10" s="136" t="s">
        <v>34</v>
      </c>
      <c r="K10" s="137" t="s">
        <v>33</v>
      </c>
      <c r="L10" s="138" t="s">
        <v>32</v>
      </c>
      <c r="O10" s="64"/>
    </row>
    <row r="11" spans="2:15">
      <c r="B11" s="38"/>
      <c r="C11" s="57"/>
      <c r="D11" s="56"/>
      <c r="E11" s="55"/>
      <c r="F11" s="54"/>
      <c r="G11" s="53"/>
      <c r="H11" s="63"/>
      <c r="I11" s="55"/>
      <c r="J11" s="54"/>
      <c r="K11" s="53"/>
      <c r="L11" s="62"/>
    </row>
    <row r="12" spans="2:15">
      <c r="B12" s="34"/>
      <c r="C12" s="51"/>
      <c r="D12" s="50"/>
      <c r="E12" s="49"/>
      <c r="F12" s="48"/>
      <c r="G12" s="47"/>
      <c r="H12" s="50"/>
      <c r="I12" s="49"/>
      <c r="J12" s="48"/>
      <c r="K12" s="47"/>
      <c r="L12" s="46"/>
    </row>
    <row r="13" spans="2:15">
      <c r="B13" s="30"/>
      <c r="C13" s="45"/>
      <c r="D13" s="44"/>
      <c r="E13" s="43"/>
      <c r="F13" s="42"/>
      <c r="G13" s="41"/>
      <c r="H13" s="44"/>
      <c r="I13" s="43"/>
      <c r="J13" s="42"/>
      <c r="K13" s="41"/>
      <c r="L13" s="40"/>
    </row>
    <row r="14" spans="2:15">
      <c r="B14" s="97"/>
      <c r="C14" s="98"/>
      <c r="D14" s="99"/>
      <c r="E14" s="99"/>
      <c r="F14" s="100"/>
      <c r="G14" s="100"/>
      <c r="H14" s="99"/>
      <c r="I14" s="99"/>
      <c r="J14" s="100"/>
      <c r="K14" s="100"/>
      <c r="L14" s="101"/>
    </row>
    <row r="15" spans="2:15" ht="30.75" customHeight="1" thickBot="1">
      <c r="B15" s="584" t="s">
        <v>109</v>
      </c>
      <c r="C15" s="585"/>
      <c r="D15" s="59"/>
      <c r="E15" s="58"/>
      <c r="F15" s="61"/>
      <c r="G15" s="60"/>
      <c r="H15" s="59"/>
      <c r="I15" s="58"/>
      <c r="J15" s="61"/>
      <c r="K15" s="60"/>
      <c r="L15" s="95"/>
    </row>
    <row r="16" spans="2:15">
      <c r="B16" s="89"/>
      <c r="C16" s="90"/>
      <c r="D16" s="91"/>
      <c r="E16" s="92"/>
      <c r="F16" s="93"/>
      <c r="G16" s="94"/>
      <c r="H16" s="91"/>
      <c r="I16" s="92"/>
      <c r="J16" s="93"/>
      <c r="K16" s="94"/>
      <c r="L16" s="96"/>
    </row>
    <row r="17" spans="2:12">
      <c r="B17" s="38"/>
      <c r="C17" s="57"/>
      <c r="D17" s="56"/>
      <c r="E17" s="55"/>
      <c r="F17" s="54"/>
      <c r="G17" s="53"/>
      <c r="H17" s="56"/>
      <c r="I17" s="55"/>
      <c r="J17" s="54"/>
      <c r="K17" s="53"/>
      <c r="L17" s="52"/>
    </row>
    <row r="18" spans="2:12">
      <c r="B18" s="34"/>
      <c r="C18" s="51"/>
      <c r="D18" s="50"/>
      <c r="E18" s="49"/>
      <c r="F18" s="48"/>
      <c r="G18" s="47"/>
      <c r="H18" s="50"/>
      <c r="I18" s="49"/>
      <c r="J18" s="48"/>
      <c r="K18" s="47"/>
      <c r="L18" s="46"/>
    </row>
    <row r="19" spans="2:12">
      <c r="B19" s="30"/>
      <c r="C19" s="45"/>
      <c r="D19" s="44"/>
      <c r="E19" s="43"/>
      <c r="F19" s="42"/>
      <c r="G19" s="41"/>
      <c r="H19" s="44"/>
      <c r="I19" s="43"/>
      <c r="J19" s="42"/>
      <c r="K19" s="41"/>
      <c r="L19" s="40"/>
    </row>
    <row r="20" spans="2:12">
      <c r="B20" s="97"/>
      <c r="C20" s="98"/>
      <c r="D20" s="99"/>
      <c r="E20" s="99"/>
      <c r="F20" s="100"/>
      <c r="G20" s="100"/>
      <c r="H20" s="99"/>
      <c r="I20" s="99"/>
      <c r="J20" s="100"/>
      <c r="K20" s="100"/>
      <c r="L20" s="101"/>
    </row>
    <row r="21" spans="2:12" ht="30.75" customHeight="1" thickBot="1">
      <c r="B21" s="584" t="s">
        <v>109</v>
      </c>
      <c r="C21" s="585"/>
      <c r="D21" s="59"/>
      <c r="E21" s="39"/>
      <c r="F21" s="39"/>
      <c r="G21" s="60"/>
      <c r="H21" s="59"/>
      <c r="I21" s="39"/>
      <c r="J21" s="39"/>
      <c r="K21" s="60"/>
      <c r="L21" s="95"/>
    </row>
    <row r="22" spans="2:12">
      <c r="B22" s="38" t="s">
        <v>30</v>
      </c>
      <c r="C22" s="36"/>
      <c r="D22" s="38"/>
      <c r="E22" s="37"/>
      <c r="F22" s="37"/>
      <c r="G22" s="36"/>
      <c r="H22" s="38"/>
      <c r="I22" s="37"/>
      <c r="J22" s="37"/>
      <c r="K22" s="36"/>
      <c r="L22" s="35"/>
    </row>
    <row r="23" spans="2:12">
      <c r="B23" s="34"/>
      <c r="C23" s="32"/>
      <c r="D23" s="34"/>
      <c r="E23" s="33"/>
      <c r="F23" s="33"/>
      <c r="G23" s="32"/>
      <c r="H23" s="34"/>
      <c r="I23" s="33"/>
      <c r="J23" s="33"/>
      <c r="K23" s="32"/>
      <c r="L23" s="31"/>
    </row>
    <row r="24" spans="2:12">
      <c r="B24" s="34"/>
      <c r="C24" s="32"/>
      <c r="D24" s="34"/>
      <c r="E24" s="33"/>
      <c r="F24" s="33"/>
      <c r="G24" s="32"/>
      <c r="H24" s="34"/>
      <c r="I24" s="33"/>
      <c r="J24" s="33"/>
      <c r="K24" s="32"/>
      <c r="L24" s="31"/>
    </row>
    <row r="25" spans="2:12">
      <c r="B25" s="34"/>
      <c r="C25" s="32"/>
      <c r="D25" s="34"/>
      <c r="E25" s="33"/>
      <c r="F25" s="33"/>
      <c r="G25" s="32"/>
      <c r="H25" s="34"/>
      <c r="I25" s="33"/>
      <c r="J25" s="33"/>
      <c r="K25" s="32"/>
      <c r="L25" s="31"/>
    </row>
    <row r="26" spans="2:12">
      <c r="B26" s="34"/>
      <c r="C26" s="32"/>
      <c r="D26" s="34"/>
      <c r="E26" s="33"/>
      <c r="F26" s="33"/>
      <c r="G26" s="32"/>
      <c r="H26" s="34"/>
      <c r="I26" s="33"/>
      <c r="J26" s="33"/>
      <c r="K26" s="32"/>
      <c r="L26" s="31"/>
    </row>
    <row r="27" spans="2:12">
      <c r="B27" s="34"/>
      <c r="C27" s="32"/>
      <c r="D27" s="34"/>
      <c r="E27" s="33"/>
      <c r="F27" s="33"/>
      <c r="G27" s="32"/>
      <c r="H27" s="34"/>
      <c r="I27" s="33"/>
      <c r="J27" s="33"/>
      <c r="K27" s="32"/>
      <c r="L27" s="31"/>
    </row>
    <row r="28" spans="2:12">
      <c r="B28" s="34"/>
      <c r="C28" s="32"/>
      <c r="D28" s="34"/>
      <c r="E28" s="33"/>
      <c r="F28" s="33"/>
      <c r="G28" s="32"/>
      <c r="H28" s="34"/>
      <c r="I28" s="33"/>
      <c r="J28" s="33"/>
      <c r="K28" s="32"/>
      <c r="L28" s="31"/>
    </row>
    <row r="29" spans="2:12">
      <c r="B29" s="34"/>
      <c r="C29" s="32"/>
      <c r="D29" s="34"/>
      <c r="E29" s="33"/>
      <c r="F29" s="33"/>
      <c r="G29" s="32"/>
      <c r="H29" s="34"/>
      <c r="I29" s="33"/>
      <c r="J29" s="33"/>
      <c r="K29" s="32"/>
      <c r="L29" s="31"/>
    </row>
    <row r="30" spans="2:12">
      <c r="B30" s="34"/>
      <c r="C30" s="32"/>
      <c r="D30" s="34"/>
      <c r="E30" s="33"/>
      <c r="F30" s="33"/>
      <c r="G30" s="32"/>
      <c r="H30" s="34"/>
      <c r="I30" s="33"/>
      <c r="J30" s="33"/>
      <c r="K30" s="32"/>
      <c r="L30" s="31"/>
    </row>
    <row r="31" spans="2:12">
      <c r="B31" s="34"/>
      <c r="C31" s="32"/>
      <c r="D31" s="34"/>
      <c r="E31" s="33"/>
      <c r="F31" s="33"/>
      <c r="G31" s="32"/>
      <c r="H31" s="34"/>
      <c r="I31" s="33"/>
      <c r="J31" s="33"/>
      <c r="K31" s="32"/>
      <c r="L31" s="31"/>
    </row>
    <row r="32" spans="2:12">
      <c r="B32" s="34"/>
      <c r="C32" s="32"/>
      <c r="D32" s="34"/>
      <c r="E32" s="33"/>
      <c r="F32" s="33"/>
      <c r="G32" s="32"/>
      <c r="H32" s="34"/>
      <c r="I32" s="33"/>
      <c r="J32" s="33"/>
      <c r="K32" s="32"/>
      <c r="L32" s="31"/>
    </row>
    <row r="33" spans="2:12">
      <c r="B33" s="34"/>
      <c r="C33" s="32"/>
      <c r="D33" s="34"/>
      <c r="E33" s="33"/>
      <c r="F33" s="33"/>
      <c r="G33" s="32"/>
      <c r="H33" s="34"/>
      <c r="I33" s="33"/>
      <c r="J33" s="33"/>
      <c r="K33" s="32"/>
      <c r="L33" s="31"/>
    </row>
    <row r="34" spans="2:12">
      <c r="B34" s="34"/>
      <c r="C34" s="32"/>
      <c r="D34" s="34"/>
      <c r="E34" s="33"/>
      <c r="F34" s="33"/>
      <c r="G34" s="32"/>
      <c r="H34" s="34"/>
      <c r="I34" s="33"/>
      <c r="J34" s="33"/>
      <c r="K34" s="32"/>
      <c r="L34" s="31"/>
    </row>
    <row r="35" spans="2:12">
      <c r="B35" s="34"/>
      <c r="C35" s="32"/>
      <c r="D35" s="34"/>
      <c r="E35" s="33"/>
      <c r="F35" s="33"/>
      <c r="G35" s="32"/>
      <c r="H35" s="34"/>
      <c r="I35" s="33"/>
      <c r="J35" s="33"/>
      <c r="K35" s="32"/>
      <c r="L35" s="31"/>
    </row>
    <row r="36" spans="2:12">
      <c r="B36" s="34"/>
      <c r="C36" s="32"/>
      <c r="D36" s="34"/>
      <c r="E36" s="33"/>
      <c r="F36" s="33"/>
      <c r="G36" s="32"/>
      <c r="H36" s="34"/>
      <c r="I36" s="33"/>
      <c r="J36" s="33"/>
      <c r="K36" s="32"/>
      <c r="L36" s="31"/>
    </row>
    <row r="37" spans="2:12" ht="15.75" thickBot="1">
      <c r="B37" s="30"/>
      <c r="C37" s="28"/>
      <c r="D37" s="30"/>
      <c r="E37" s="29"/>
      <c r="F37" s="29"/>
      <c r="G37" s="28"/>
      <c r="H37" s="30"/>
      <c r="I37" s="29"/>
      <c r="J37" s="29"/>
      <c r="K37" s="28"/>
      <c r="L37" s="27"/>
    </row>
    <row r="38" spans="2:12" ht="45.75" thickBot="1">
      <c r="B38" s="26" t="s">
        <v>284</v>
      </c>
      <c r="C38" s="24"/>
      <c r="D38" s="26">
        <f>D15+D21</f>
        <v>0</v>
      </c>
      <c r="E38" s="25"/>
      <c r="F38" s="25"/>
      <c r="G38" s="102">
        <f>G15+G21</f>
        <v>0</v>
      </c>
      <c r="H38" s="26">
        <f>H15+H21</f>
        <v>0</v>
      </c>
      <c r="I38" s="25"/>
      <c r="J38" s="25"/>
      <c r="K38" s="102">
        <f>K15+K21</f>
        <v>0</v>
      </c>
      <c r="L38" s="23">
        <f>L15+L21</f>
        <v>0</v>
      </c>
    </row>
    <row r="39" spans="2:12"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1"/>
    </row>
    <row r="40" spans="2:12" ht="37.5" customHeight="1">
      <c r="B40" s="576" t="s">
        <v>29</v>
      </c>
      <c r="C40" s="576"/>
      <c r="D40" s="576"/>
      <c r="E40" s="576"/>
      <c r="F40" s="576"/>
      <c r="G40" s="576"/>
      <c r="H40" s="576"/>
      <c r="I40" s="576"/>
      <c r="J40" s="576"/>
      <c r="K40" s="576"/>
      <c r="L40" s="576"/>
    </row>
    <row r="41" spans="2:12" ht="19.5" customHeight="1">
      <c r="B41" s="20" t="s">
        <v>285</v>
      </c>
      <c r="C41" s="19"/>
      <c r="D41" s="18"/>
      <c r="E41" s="18"/>
      <c r="F41" s="18"/>
      <c r="G41" s="18"/>
      <c r="H41" s="18"/>
      <c r="I41" s="18"/>
      <c r="J41" s="18"/>
      <c r="K41" s="18"/>
      <c r="L41" s="18"/>
    </row>
    <row r="45" spans="2:12">
      <c r="B45" s="17"/>
    </row>
  </sheetData>
  <mergeCells count="8">
    <mergeCell ref="K3:L3"/>
    <mergeCell ref="B40:L40"/>
    <mergeCell ref="D9:G9"/>
    <mergeCell ref="H9:K9"/>
    <mergeCell ref="B9:B10"/>
    <mergeCell ref="C9:C10"/>
    <mergeCell ref="B15:C15"/>
    <mergeCell ref="B21:C21"/>
  </mergeCells>
  <printOptions horizontalCentered="1"/>
  <pageMargins left="0.7" right="0.7" top="0.75" bottom="0.75" header="0.3" footer="0.3"/>
  <pageSetup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1"/>
  <sheetViews>
    <sheetView zoomScaleNormal="100" workbookViewId="0">
      <selection activeCell="N23" sqref="N23"/>
    </sheetView>
  </sheetViews>
  <sheetFormatPr defaultRowHeight="15.75"/>
  <cols>
    <col min="1" max="11" width="9.140625" style="75"/>
    <col min="12" max="12" width="14.28515625" style="75" customWidth="1"/>
    <col min="13" max="16384" width="9.140625" style="75"/>
  </cols>
  <sheetData>
    <row r="3" spans="2:12">
      <c r="B3" s="75" t="s">
        <v>41</v>
      </c>
    </row>
    <row r="4" spans="2:12">
      <c r="B4" s="66" t="s">
        <v>139</v>
      </c>
      <c r="F4" s="76" t="s">
        <v>140</v>
      </c>
      <c r="G4" s="76"/>
      <c r="H4" s="76"/>
      <c r="I4" s="76"/>
    </row>
    <row r="7" spans="2:12" ht="15" customHeight="1">
      <c r="B7" s="586" t="s">
        <v>418</v>
      </c>
      <c r="C7" s="586"/>
      <c r="D7" s="586"/>
      <c r="E7" s="586"/>
      <c r="F7" s="586"/>
      <c r="G7" s="586"/>
      <c r="H7" s="586"/>
      <c r="I7" s="586"/>
      <c r="J7" s="586"/>
      <c r="K7" s="586"/>
      <c r="L7" s="586"/>
    </row>
    <row r="8" spans="2:12">
      <c r="B8" s="586"/>
      <c r="C8" s="586"/>
      <c r="D8" s="586"/>
      <c r="E8" s="586"/>
      <c r="F8" s="586"/>
      <c r="G8" s="586"/>
      <c r="H8" s="586"/>
      <c r="I8" s="586"/>
      <c r="J8" s="586"/>
      <c r="K8" s="586"/>
      <c r="L8" s="586"/>
    </row>
    <row r="9" spans="2:12">
      <c r="B9" s="586"/>
      <c r="C9" s="586"/>
      <c r="D9" s="586"/>
      <c r="E9" s="586"/>
      <c r="F9" s="586"/>
      <c r="G9" s="586"/>
      <c r="H9" s="586"/>
      <c r="I9" s="586"/>
      <c r="J9" s="586"/>
      <c r="K9" s="586"/>
      <c r="L9" s="586"/>
    </row>
    <row r="11" spans="2:12">
      <c r="B11" s="75" t="s">
        <v>146</v>
      </c>
    </row>
  </sheetData>
  <mergeCells count="1">
    <mergeCell ref="B7:L9"/>
  </mergeCells>
  <pageMargins left="0.95" right="0.7" top="1.25" bottom="0.75" header="0.3" footer="0.3"/>
  <pageSetup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O27"/>
  <sheetViews>
    <sheetView topLeftCell="A10" zoomScaleNormal="100" workbookViewId="0">
      <selection activeCell="H9" sqref="H9"/>
    </sheetView>
  </sheetViews>
  <sheetFormatPr defaultRowHeight="15"/>
  <cols>
    <col min="3" max="3" width="12.28515625" customWidth="1"/>
    <col min="4" max="4" width="12.42578125" customWidth="1"/>
    <col min="5" max="5" width="12.140625" customWidth="1"/>
    <col min="6" max="6" width="9.85546875" customWidth="1"/>
    <col min="7" max="7" width="12.5703125" customWidth="1"/>
    <col min="8" max="8" width="14.42578125" bestFit="1" customWidth="1"/>
    <col min="9" max="9" width="13.42578125" bestFit="1" customWidth="1"/>
    <col min="10" max="10" width="11.42578125" customWidth="1"/>
    <col min="11" max="11" width="8.85546875" customWidth="1"/>
    <col min="12" max="12" width="5.5703125" bestFit="1" customWidth="1"/>
    <col min="13" max="13" width="17.42578125" customWidth="1"/>
    <col min="14" max="14" width="19.28515625" customWidth="1"/>
  </cols>
  <sheetData>
    <row r="3" spans="2:12">
      <c r="B3" t="s">
        <v>41</v>
      </c>
    </row>
    <row r="4" spans="2:12">
      <c r="B4" s="65" t="s">
        <v>141</v>
      </c>
      <c r="F4" s="147"/>
    </row>
    <row r="6" spans="2:12">
      <c r="B6" t="s">
        <v>92</v>
      </c>
      <c r="E6" s="122" t="s">
        <v>104</v>
      </c>
      <c r="F6" s="71"/>
      <c r="G6" s="71"/>
    </row>
    <row r="7" spans="2:12">
      <c r="B7" t="s">
        <v>93</v>
      </c>
      <c r="E7" s="122">
        <v>78910</v>
      </c>
    </row>
    <row r="8" spans="2:12">
      <c r="B8" t="s">
        <v>94</v>
      </c>
      <c r="E8" s="122" t="s">
        <v>134</v>
      </c>
    </row>
    <row r="9" spans="2:12">
      <c r="B9" t="s">
        <v>91</v>
      </c>
      <c r="E9" s="122">
        <v>12346</v>
      </c>
    </row>
    <row r="10" spans="2:12">
      <c r="B10" t="s">
        <v>144</v>
      </c>
      <c r="E10" s="238">
        <v>41273</v>
      </c>
      <c r="F10" s="307"/>
    </row>
    <row r="11" spans="2:12" ht="15.75" thickBot="1"/>
    <row r="12" spans="2:12">
      <c r="B12" s="541" t="s">
        <v>123</v>
      </c>
      <c r="C12" s="542"/>
      <c r="D12" s="542"/>
      <c r="E12" s="542"/>
      <c r="F12" s="543"/>
      <c r="G12" s="542"/>
      <c r="H12" s="542"/>
      <c r="I12" s="542"/>
      <c r="J12" s="544"/>
    </row>
    <row r="13" spans="2:12">
      <c r="B13" s="79"/>
      <c r="C13" s="12"/>
      <c r="D13" s="12"/>
      <c r="E13" s="12"/>
      <c r="F13" s="12"/>
      <c r="G13" s="12"/>
      <c r="H13" s="591" t="s">
        <v>95</v>
      </c>
      <c r="I13" s="592"/>
      <c r="J13" s="593"/>
      <c r="K13" s="78"/>
      <c r="L13" s="78"/>
    </row>
    <row r="14" spans="2:12">
      <c r="B14" s="121" t="s">
        <v>88</v>
      </c>
      <c r="C14" s="118" t="s">
        <v>96</v>
      </c>
      <c r="D14" s="118" t="s">
        <v>97</v>
      </c>
      <c r="E14" s="118" t="s">
        <v>20</v>
      </c>
      <c r="F14" s="118" t="s">
        <v>21</v>
      </c>
      <c r="G14" s="118" t="s">
        <v>22</v>
      </c>
      <c r="H14" s="118" t="s">
        <v>108</v>
      </c>
      <c r="I14" s="118" t="s">
        <v>98</v>
      </c>
      <c r="J14" s="86" t="s">
        <v>99</v>
      </c>
    </row>
    <row r="15" spans="2:12">
      <c r="B15" s="104"/>
      <c r="C15" s="2"/>
      <c r="D15" s="2"/>
      <c r="E15" s="2"/>
      <c r="F15" s="2"/>
      <c r="G15" s="2"/>
      <c r="H15" s="119"/>
      <c r="I15" s="120"/>
      <c r="J15" s="87"/>
    </row>
    <row r="16" spans="2:12">
      <c r="B16" s="79"/>
      <c r="C16" s="595" t="s">
        <v>286</v>
      </c>
      <c r="D16" s="596"/>
      <c r="E16" s="596"/>
      <c r="F16" s="596"/>
      <c r="G16" s="596"/>
      <c r="H16" s="596"/>
      <c r="I16" s="597"/>
      <c r="J16" s="80"/>
    </row>
    <row r="17" spans="2:15" ht="15.75" thickBot="1">
      <c r="B17" s="81"/>
      <c r="C17" s="117"/>
      <c r="D17" s="117"/>
      <c r="E17" s="117"/>
      <c r="F17" s="117"/>
      <c r="G17" s="117"/>
      <c r="H17" s="117"/>
      <c r="I17" s="117"/>
      <c r="J17" s="82"/>
    </row>
    <row r="18" spans="2:15" ht="15.75" thickBot="1"/>
    <row r="19" spans="2:15">
      <c r="B19" s="541" t="s">
        <v>110</v>
      </c>
      <c r="C19" s="542"/>
      <c r="D19" s="542"/>
      <c r="E19" s="542"/>
      <c r="F19" s="594">
        <v>41273</v>
      </c>
      <c r="G19" s="594"/>
      <c r="H19" s="542"/>
      <c r="I19" s="542"/>
      <c r="J19" s="542"/>
      <c r="K19" s="542"/>
      <c r="L19" s="542"/>
      <c r="M19" s="542"/>
      <c r="N19" s="544"/>
    </row>
    <row r="20" spans="2:15" ht="33.75" customHeight="1">
      <c r="B20" s="105"/>
      <c r="C20" s="85"/>
      <c r="D20" s="85"/>
      <c r="E20" s="85"/>
      <c r="F20" s="85"/>
      <c r="G20" s="85"/>
      <c r="H20" s="598" t="s">
        <v>411</v>
      </c>
      <c r="I20" s="590" t="s">
        <v>106</v>
      </c>
      <c r="J20" s="590"/>
      <c r="K20" s="109"/>
      <c r="L20" s="109"/>
      <c r="M20" s="115"/>
      <c r="N20" s="235" t="s">
        <v>100</v>
      </c>
    </row>
    <row r="21" spans="2:15" ht="15" customHeight="1">
      <c r="B21" s="121" t="s">
        <v>88</v>
      </c>
      <c r="C21" s="118" t="s">
        <v>96</v>
      </c>
      <c r="D21" s="118" t="s">
        <v>97</v>
      </c>
      <c r="E21" s="118" t="s">
        <v>20</v>
      </c>
      <c r="F21" s="118" t="s">
        <v>21</v>
      </c>
      <c r="G21" s="118" t="s">
        <v>22</v>
      </c>
      <c r="H21" s="599"/>
      <c r="I21" s="118" t="s">
        <v>107</v>
      </c>
      <c r="J21" s="118" t="s">
        <v>105</v>
      </c>
      <c r="K21" s="110" t="s">
        <v>101</v>
      </c>
      <c r="L21" s="110" t="s">
        <v>95</v>
      </c>
      <c r="M21" s="110" t="s">
        <v>102</v>
      </c>
      <c r="N21" s="236"/>
    </row>
    <row r="22" spans="2:15">
      <c r="B22" s="79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83"/>
    </row>
    <row r="23" spans="2:15">
      <c r="B23" s="106"/>
      <c r="C23" s="587" t="s">
        <v>287</v>
      </c>
      <c r="D23" s="588"/>
      <c r="E23" s="588"/>
      <c r="F23" s="588"/>
      <c r="G23" s="588"/>
      <c r="H23" s="588"/>
      <c r="I23" s="589"/>
      <c r="J23" s="2"/>
      <c r="K23" s="112"/>
      <c r="L23" s="112"/>
      <c r="M23" s="116"/>
      <c r="N23" s="88"/>
    </row>
    <row r="24" spans="2:15">
      <c r="B24" s="107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1"/>
      <c r="N24" s="80"/>
    </row>
    <row r="25" spans="2:15" ht="15.75" thickBot="1">
      <c r="B25" s="108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7"/>
      <c r="N25" s="82"/>
      <c r="O25" s="72"/>
    </row>
    <row r="26" spans="2:15">
      <c r="B26" s="77"/>
      <c r="C26" s="77"/>
      <c r="D26" s="77"/>
      <c r="E26" s="77"/>
      <c r="F26" s="77"/>
      <c r="G26" s="77"/>
      <c r="H26" s="77"/>
      <c r="I26" s="77"/>
      <c r="J26" s="77"/>
      <c r="O26" s="72"/>
    </row>
    <row r="27" spans="2:15">
      <c r="K27" s="77"/>
      <c r="L27" s="77"/>
    </row>
  </sheetData>
  <mergeCells count="6">
    <mergeCell ref="C23:I23"/>
    <mergeCell ref="I20:J20"/>
    <mergeCell ref="H13:J13"/>
    <mergeCell ref="F19:G19"/>
    <mergeCell ref="C16:I16"/>
    <mergeCell ref="H20:H21"/>
  </mergeCells>
  <pageMargins left="0.7" right="0.7" top="0.75" bottom="0.75" header="0.3" footer="0.3"/>
  <pageSetup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4"/>
  <sheetViews>
    <sheetView showGridLines="0" topLeftCell="A34" zoomScaleNormal="100" zoomScaleSheetLayoutView="75" workbookViewId="0">
      <selection activeCell="E27" sqref="E27"/>
    </sheetView>
  </sheetViews>
  <sheetFormatPr defaultRowHeight="12.75"/>
  <cols>
    <col min="1" max="1" width="4.42578125" style="337" customWidth="1"/>
    <col min="2" max="2" width="45.28515625" style="337" customWidth="1"/>
    <col min="3" max="3" width="10.28515625" style="337" customWidth="1"/>
    <col min="4" max="11" width="13.85546875" style="337" customWidth="1"/>
    <col min="12" max="12" width="3.7109375" style="337" customWidth="1"/>
    <col min="13" max="256" width="9.140625" style="337"/>
    <col min="257" max="257" width="4.42578125" style="337" customWidth="1"/>
    <col min="258" max="258" width="45.28515625" style="337" customWidth="1"/>
    <col min="259" max="259" width="10.28515625" style="337" customWidth="1"/>
    <col min="260" max="267" width="13.85546875" style="337" customWidth="1"/>
    <col min="268" max="268" width="3.7109375" style="337" customWidth="1"/>
    <col min="269" max="512" width="9.140625" style="337"/>
    <col min="513" max="513" width="4.42578125" style="337" customWidth="1"/>
    <col min="514" max="514" width="45.28515625" style="337" customWidth="1"/>
    <col min="515" max="515" width="10.28515625" style="337" customWidth="1"/>
    <col min="516" max="523" width="13.85546875" style="337" customWidth="1"/>
    <col min="524" max="524" width="3.7109375" style="337" customWidth="1"/>
    <col min="525" max="768" width="9.140625" style="337"/>
    <col min="769" max="769" width="4.42578125" style="337" customWidth="1"/>
    <col min="770" max="770" width="45.28515625" style="337" customWidth="1"/>
    <col min="771" max="771" width="10.28515625" style="337" customWidth="1"/>
    <col min="772" max="779" width="13.85546875" style="337" customWidth="1"/>
    <col min="780" max="780" width="3.7109375" style="337" customWidth="1"/>
    <col min="781" max="1024" width="9.140625" style="337"/>
    <col min="1025" max="1025" width="4.42578125" style="337" customWidth="1"/>
    <col min="1026" max="1026" width="45.28515625" style="337" customWidth="1"/>
    <col min="1027" max="1027" width="10.28515625" style="337" customWidth="1"/>
    <col min="1028" max="1035" width="13.85546875" style="337" customWidth="1"/>
    <col min="1036" max="1036" width="3.7109375" style="337" customWidth="1"/>
    <col min="1037" max="1280" width="9.140625" style="337"/>
    <col min="1281" max="1281" width="4.42578125" style="337" customWidth="1"/>
    <col min="1282" max="1282" width="45.28515625" style="337" customWidth="1"/>
    <col min="1283" max="1283" width="10.28515625" style="337" customWidth="1"/>
    <col min="1284" max="1291" width="13.85546875" style="337" customWidth="1"/>
    <col min="1292" max="1292" width="3.7109375" style="337" customWidth="1"/>
    <col min="1293" max="1536" width="9.140625" style="337"/>
    <col min="1537" max="1537" width="4.42578125" style="337" customWidth="1"/>
    <col min="1538" max="1538" width="45.28515625" style="337" customWidth="1"/>
    <col min="1539" max="1539" width="10.28515625" style="337" customWidth="1"/>
    <col min="1540" max="1547" width="13.85546875" style="337" customWidth="1"/>
    <col min="1548" max="1548" width="3.7109375" style="337" customWidth="1"/>
    <col min="1549" max="1792" width="9.140625" style="337"/>
    <col min="1793" max="1793" width="4.42578125" style="337" customWidth="1"/>
    <col min="1794" max="1794" width="45.28515625" style="337" customWidth="1"/>
    <col min="1795" max="1795" width="10.28515625" style="337" customWidth="1"/>
    <col min="1796" max="1803" width="13.85546875" style="337" customWidth="1"/>
    <col min="1804" max="1804" width="3.7109375" style="337" customWidth="1"/>
    <col min="1805" max="2048" width="9.140625" style="337"/>
    <col min="2049" max="2049" width="4.42578125" style="337" customWidth="1"/>
    <col min="2050" max="2050" width="45.28515625" style="337" customWidth="1"/>
    <col min="2051" max="2051" width="10.28515625" style="337" customWidth="1"/>
    <col min="2052" max="2059" width="13.85546875" style="337" customWidth="1"/>
    <col min="2060" max="2060" width="3.7109375" style="337" customWidth="1"/>
    <col min="2061" max="2304" width="9.140625" style="337"/>
    <col min="2305" max="2305" width="4.42578125" style="337" customWidth="1"/>
    <col min="2306" max="2306" width="45.28515625" style="337" customWidth="1"/>
    <col min="2307" max="2307" width="10.28515625" style="337" customWidth="1"/>
    <col min="2308" max="2315" width="13.85546875" style="337" customWidth="1"/>
    <col min="2316" max="2316" width="3.7109375" style="337" customWidth="1"/>
    <col min="2317" max="2560" width="9.140625" style="337"/>
    <col min="2561" max="2561" width="4.42578125" style="337" customWidth="1"/>
    <col min="2562" max="2562" width="45.28515625" style="337" customWidth="1"/>
    <col min="2563" max="2563" width="10.28515625" style="337" customWidth="1"/>
    <col min="2564" max="2571" width="13.85546875" style="337" customWidth="1"/>
    <col min="2572" max="2572" width="3.7109375" style="337" customWidth="1"/>
    <col min="2573" max="2816" width="9.140625" style="337"/>
    <col min="2817" max="2817" width="4.42578125" style="337" customWidth="1"/>
    <col min="2818" max="2818" width="45.28515625" style="337" customWidth="1"/>
    <col min="2819" max="2819" width="10.28515625" style="337" customWidth="1"/>
    <col min="2820" max="2827" width="13.85546875" style="337" customWidth="1"/>
    <col min="2828" max="2828" width="3.7109375" style="337" customWidth="1"/>
    <col min="2829" max="3072" width="9.140625" style="337"/>
    <col min="3073" max="3073" width="4.42578125" style="337" customWidth="1"/>
    <col min="3074" max="3074" width="45.28515625" style="337" customWidth="1"/>
    <col min="3075" max="3075" width="10.28515625" style="337" customWidth="1"/>
    <col min="3076" max="3083" width="13.85546875" style="337" customWidth="1"/>
    <col min="3084" max="3084" width="3.7109375" style="337" customWidth="1"/>
    <col min="3085" max="3328" width="9.140625" style="337"/>
    <col min="3329" max="3329" width="4.42578125" style="337" customWidth="1"/>
    <col min="3330" max="3330" width="45.28515625" style="337" customWidth="1"/>
    <col min="3331" max="3331" width="10.28515625" style="337" customWidth="1"/>
    <col min="3332" max="3339" width="13.85546875" style="337" customWidth="1"/>
    <col min="3340" max="3340" width="3.7109375" style="337" customWidth="1"/>
    <col min="3341" max="3584" width="9.140625" style="337"/>
    <col min="3585" max="3585" width="4.42578125" style="337" customWidth="1"/>
    <col min="3586" max="3586" width="45.28515625" style="337" customWidth="1"/>
    <col min="3587" max="3587" width="10.28515625" style="337" customWidth="1"/>
    <col min="3588" max="3595" width="13.85546875" style="337" customWidth="1"/>
    <col min="3596" max="3596" width="3.7109375" style="337" customWidth="1"/>
    <col min="3597" max="3840" width="9.140625" style="337"/>
    <col min="3841" max="3841" width="4.42578125" style="337" customWidth="1"/>
    <col min="3842" max="3842" width="45.28515625" style="337" customWidth="1"/>
    <col min="3843" max="3843" width="10.28515625" style="337" customWidth="1"/>
    <col min="3844" max="3851" width="13.85546875" style="337" customWidth="1"/>
    <col min="3852" max="3852" width="3.7109375" style="337" customWidth="1"/>
    <col min="3853" max="4096" width="9.140625" style="337"/>
    <col min="4097" max="4097" width="4.42578125" style="337" customWidth="1"/>
    <col min="4098" max="4098" width="45.28515625" style="337" customWidth="1"/>
    <col min="4099" max="4099" width="10.28515625" style="337" customWidth="1"/>
    <col min="4100" max="4107" width="13.85546875" style="337" customWidth="1"/>
    <col min="4108" max="4108" width="3.7109375" style="337" customWidth="1"/>
    <col min="4109" max="4352" width="9.140625" style="337"/>
    <col min="4353" max="4353" width="4.42578125" style="337" customWidth="1"/>
    <col min="4354" max="4354" width="45.28515625" style="337" customWidth="1"/>
    <col min="4355" max="4355" width="10.28515625" style="337" customWidth="1"/>
    <col min="4356" max="4363" width="13.85546875" style="337" customWidth="1"/>
    <col min="4364" max="4364" width="3.7109375" style="337" customWidth="1"/>
    <col min="4365" max="4608" width="9.140625" style="337"/>
    <col min="4609" max="4609" width="4.42578125" style="337" customWidth="1"/>
    <col min="4610" max="4610" width="45.28515625" style="337" customWidth="1"/>
    <col min="4611" max="4611" width="10.28515625" style="337" customWidth="1"/>
    <col min="4612" max="4619" width="13.85546875" style="337" customWidth="1"/>
    <col min="4620" max="4620" width="3.7109375" style="337" customWidth="1"/>
    <col min="4621" max="4864" width="9.140625" style="337"/>
    <col min="4865" max="4865" width="4.42578125" style="337" customWidth="1"/>
    <col min="4866" max="4866" width="45.28515625" style="337" customWidth="1"/>
    <col min="4867" max="4867" width="10.28515625" style="337" customWidth="1"/>
    <col min="4868" max="4875" width="13.85546875" style="337" customWidth="1"/>
    <col min="4876" max="4876" width="3.7109375" style="337" customWidth="1"/>
    <col min="4877" max="5120" width="9.140625" style="337"/>
    <col min="5121" max="5121" width="4.42578125" style="337" customWidth="1"/>
    <col min="5122" max="5122" width="45.28515625" style="337" customWidth="1"/>
    <col min="5123" max="5123" width="10.28515625" style="337" customWidth="1"/>
    <col min="5124" max="5131" width="13.85546875" style="337" customWidth="1"/>
    <col min="5132" max="5132" width="3.7109375" style="337" customWidth="1"/>
    <col min="5133" max="5376" width="9.140625" style="337"/>
    <col min="5377" max="5377" width="4.42578125" style="337" customWidth="1"/>
    <col min="5378" max="5378" width="45.28515625" style="337" customWidth="1"/>
    <col min="5379" max="5379" width="10.28515625" style="337" customWidth="1"/>
    <col min="5380" max="5387" width="13.85546875" style="337" customWidth="1"/>
    <col min="5388" max="5388" width="3.7109375" style="337" customWidth="1"/>
    <col min="5389" max="5632" width="9.140625" style="337"/>
    <col min="5633" max="5633" width="4.42578125" style="337" customWidth="1"/>
    <col min="5634" max="5634" width="45.28515625" style="337" customWidth="1"/>
    <col min="5635" max="5635" width="10.28515625" style="337" customWidth="1"/>
    <col min="5636" max="5643" width="13.85546875" style="337" customWidth="1"/>
    <col min="5644" max="5644" width="3.7109375" style="337" customWidth="1"/>
    <col min="5645" max="5888" width="9.140625" style="337"/>
    <col min="5889" max="5889" width="4.42578125" style="337" customWidth="1"/>
    <col min="5890" max="5890" width="45.28515625" style="337" customWidth="1"/>
    <col min="5891" max="5891" width="10.28515625" style="337" customWidth="1"/>
    <col min="5892" max="5899" width="13.85546875" style="337" customWidth="1"/>
    <col min="5900" max="5900" width="3.7109375" style="337" customWidth="1"/>
    <col min="5901" max="6144" width="9.140625" style="337"/>
    <col min="6145" max="6145" width="4.42578125" style="337" customWidth="1"/>
    <col min="6146" max="6146" width="45.28515625" style="337" customWidth="1"/>
    <col min="6147" max="6147" width="10.28515625" style="337" customWidth="1"/>
    <col min="6148" max="6155" width="13.85546875" style="337" customWidth="1"/>
    <col min="6156" max="6156" width="3.7109375" style="337" customWidth="1"/>
    <col min="6157" max="6400" width="9.140625" style="337"/>
    <col min="6401" max="6401" width="4.42578125" style="337" customWidth="1"/>
    <col min="6402" max="6402" width="45.28515625" style="337" customWidth="1"/>
    <col min="6403" max="6403" width="10.28515625" style="337" customWidth="1"/>
    <col min="6404" max="6411" width="13.85546875" style="337" customWidth="1"/>
    <col min="6412" max="6412" width="3.7109375" style="337" customWidth="1"/>
    <col min="6413" max="6656" width="9.140625" style="337"/>
    <col min="6657" max="6657" width="4.42578125" style="337" customWidth="1"/>
    <col min="6658" max="6658" width="45.28515625" style="337" customWidth="1"/>
    <col min="6659" max="6659" width="10.28515625" style="337" customWidth="1"/>
    <col min="6660" max="6667" width="13.85546875" style="337" customWidth="1"/>
    <col min="6668" max="6668" width="3.7109375" style="337" customWidth="1"/>
    <col min="6669" max="6912" width="9.140625" style="337"/>
    <col min="6913" max="6913" width="4.42578125" style="337" customWidth="1"/>
    <col min="6914" max="6914" width="45.28515625" style="337" customWidth="1"/>
    <col min="6915" max="6915" width="10.28515625" style="337" customWidth="1"/>
    <col min="6916" max="6923" width="13.85546875" style="337" customWidth="1"/>
    <col min="6924" max="6924" width="3.7109375" style="337" customWidth="1"/>
    <col min="6925" max="7168" width="9.140625" style="337"/>
    <col min="7169" max="7169" width="4.42578125" style="337" customWidth="1"/>
    <col min="7170" max="7170" width="45.28515625" style="337" customWidth="1"/>
    <col min="7171" max="7171" width="10.28515625" style="337" customWidth="1"/>
    <col min="7172" max="7179" width="13.85546875" style="337" customWidth="1"/>
    <col min="7180" max="7180" width="3.7109375" style="337" customWidth="1"/>
    <col min="7181" max="7424" width="9.140625" style="337"/>
    <col min="7425" max="7425" width="4.42578125" style="337" customWidth="1"/>
    <col min="7426" max="7426" width="45.28515625" style="337" customWidth="1"/>
    <col min="7427" max="7427" width="10.28515625" style="337" customWidth="1"/>
    <col min="7428" max="7435" width="13.85546875" style="337" customWidth="1"/>
    <col min="7436" max="7436" width="3.7109375" style="337" customWidth="1"/>
    <col min="7437" max="7680" width="9.140625" style="337"/>
    <col min="7681" max="7681" width="4.42578125" style="337" customWidth="1"/>
    <col min="7682" max="7682" width="45.28515625" style="337" customWidth="1"/>
    <col min="7683" max="7683" width="10.28515625" style="337" customWidth="1"/>
    <col min="7684" max="7691" width="13.85546875" style="337" customWidth="1"/>
    <col min="7692" max="7692" width="3.7109375" style="337" customWidth="1"/>
    <col min="7693" max="7936" width="9.140625" style="337"/>
    <col min="7937" max="7937" width="4.42578125" style="337" customWidth="1"/>
    <col min="7938" max="7938" width="45.28515625" style="337" customWidth="1"/>
    <col min="7939" max="7939" width="10.28515625" style="337" customWidth="1"/>
    <col min="7940" max="7947" width="13.85546875" style="337" customWidth="1"/>
    <col min="7948" max="7948" width="3.7109375" style="337" customWidth="1"/>
    <col min="7949" max="8192" width="9.140625" style="337"/>
    <col min="8193" max="8193" width="4.42578125" style="337" customWidth="1"/>
    <col min="8194" max="8194" width="45.28515625" style="337" customWidth="1"/>
    <col min="8195" max="8195" width="10.28515625" style="337" customWidth="1"/>
    <col min="8196" max="8203" width="13.85546875" style="337" customWidth="1"/>
    <col min="8204" max="8204" width="3.7109375" style="337" customWidth="1"/>
    <col min="8205" max="8448" width="9.140625" style="337"/>
    <col min="8449" max="8449" width="4.42578125" style="337" customWidth="1"/>
    <col min="8450" max="8450" width="45.28515625" style="337" customWidth="1"/>
    <col min="8451" max="8451" width="10.28515625" style="337" customWidth="1"/>
    <col min="8452" max="8459" width="13.85546875" style="337" customWidth="1"/>
    <col min="8460" max="8460" width="3.7109375" style="337" customWidth="1"/>
    <col min="8461" max="8704" width="9.140625" style="337"/>
    <col min="8705" max="8705" width="4.42578125" style="337" customWidth="1"/>
    <col min="8706" max="8706" width="45.28515625" style="337" customWidth="1"/>
    <col min="8707" max="8707" width="10.28515625" style="337" customWidth="1"/>
    <col min="8708" max="8715" width="13.85546875" style="337" customWidth="1"/>
    <col min="8716" max="8716" width="3.7109375" style="337" customWidth="1"/>
    <col min="8717" max="8960" width="9.140625" style="337"/>
    <col min="8961" max="8961" width="4.42578125" style="337" customWidth="1"/>
    <col min="8962" max="8962" width="45.28515625" style="337" customWidth="1"/>
    <col min="8963" max="8963" width="10.28515625" style="337" customWidth="1"/>
    <col min="8964" max="8971" width="13.85546875" style="337" customWidth="1"/>
    <col min="8972" max="8972" width="3.7109375" style="337" customWidth="1"/>
    <col min="8973" max="9216" width="9.140625" style="337"/>
    <col min="9217" max="9217" width="4.42578125" style="337" customWidth="1"/>
    <col min="9218" max="9218" width="45.28515625" style="337" customWidth="1"/>
    <col min="9219" max="9219" width="10.28515625" style="337" customWidth="1"/>
    <col min="9220" max="9227" width="13.85546875" style="337" customWidth="1"/>
    <col min="9228" max="9228" width="3.7109375" style="337" customWidth="1"/>
    <col min="9229" max="9472" width="9.140625" style="337"/>
    <col min="9473" max="9473" width="4.42578125" style="337" customWidth="1"/>
    <col min="9474" max="9474" width="45.28515625" style="337" customWidth="1"/>
    <col min="9475" max="9475" width="10.28515625" style="337" customWidth="1"/>
    <col min="9476" max="9483" width="13.85546875" style="337" customWidth="1"/>
    <col min="9484" max="9484" width="3.7109375" style="337" customWidth="1"/>
    <col min="9485" max="9728" width="9.140625" style="337"/>
    <col min="9729" max="9729" width="4.42578125" style="337" customWidth="1"/>
    <col min="9730" max="9730" width="45.28515625" style="337" customWidth="1"/>
    <col min="9731" max="9731" width="10.28515625" style="337" customWidth="1"/>
    <col min="9732" max="9739" width="13.85546875" style="337" customWidth="1"/>
    <col min="9740" max="9740" width="3.7109375" style="337" customWidth="1"/>
    <col min="9741" max="9984" width="9.140625" style="337"/>
    <col min="9985" max="9985" width="4.42578125" style="337" customWidth="1"/>
    <col min="9986" max="9986" width="45.28515625" style="337" customWidth="1"/>
    <col min="9987" max="9987" width="10.28515625" style="337" customWidth="1"/>
    <col min="9988" max="9995" width="13.85546875" style="337" customWidth="1"/>
    <col min="9996" max="9996" width="3.7109375" style="337" customWidth="1"/>
    <col min="9997" max="10240" width="9.140625" style="337"/>
    <col min="10241" max="10241" width="4.42578125" style="337" customWidth="1"/>
    <col min="10242" max="10242" width="45.28515625" style="337" customWidth="1"/>
    <col min="10243" max="10243" width="10.28515625" style="337" customWidth="1"/>
    <col min="10244" max="10251" width="13.85546875" style="337" customWidth="1"/>
    <col min="10252" max="10252" width="3.7109375" style="337" customWidth="1"/>
    <col min="10253" max="10496" width="9.140625" style="337"/>
    <col min="10497" max="10497" width="4.42578125" style="337" customWidth="1"/>
    <col min="10498" max="10498" width="45.28515625" style="337" customWidth="1"/>
    <col min="10499" max="10499" width="10.28515625" style="337" customWidth="1"/>
    <col min="10500" max="10507" width="13.85546875" style="337" customWidth="1"/>
    <col min="10508" max="10508" width="3.7109375" style="337" customWidth="1"/>
    <col min="10509" max="10752" width="9.140625" style="337"/>
    <col min="10753" max="10753" width="4.42578125" style="337" customWidth="1"/>
    <col min="10754" max="10754" width="45.28515625" style="337" customWidth="1"/>
    <col min="10755" max="10755" width="10.28515625" style="337" customWidth="1"/>
    <col min="10756" max="10763" width="13.85546875" style="337" customWidth="1"/>
    <col min="10764" max="10764" width="3.7109375" style="337" customWidth="1"/>
    <col min="10765" max="11008" width="9.140625" style="337"/>
    <col min="11009" max="11009" width="4.42578125" style="337" customWidth="1"/>
    <col min="11010" max="11010" width="45.28515625" style="337" customWidth="1"/>
    <col min="11011" max="11011" width="10.28515625" style="337" customWidth="1"/>
    <col min="11012" max="11019" width="13.85546875" style="337" customWidth="1"/>
    <col min="11020" max="11020" width="3.7109375" style="337" customWidth="1"/>
    <col min="11021" max="11264" width="9.140625" style="337"/>
    <col min="11265" max="11265" width="4.42578125" style="337" customWidth="1"/>
    <col min="11266" max="11266" width="45.28515625" style="337" customWidth="1"/>
    <col min="11267" max="11267" width="10.28515625" style="337" customWidth="1"/>
    <col min="11268" max="11275" width="13.85546875" style="337" customWidth="1"/>
    <col min="11276" max="11276" width="3.7109375" style="337" customWidth="1"/>
    <col min="11277" max="11520" width="9.140625" style="337"/>
    <col min="11521" max="11521" width="4.42578125" style="337" customWidth="1"/>
    <col min="11522" max="11522" width="45.28515625" style="337" customWidth="1"/>
    <col min="11523" max="11523" width="10.28515625" style="337" customWidth="1"/>
    <col min="11524" max="11531" width="13.85546875" style="337" customWidth="1"/>
    <col min="11532" max="11532" width="3.7109375" style="337" customWidth="1"/>
    <col min="11533" max="11776" width="9.140625" style="337"/>
    <col min="11777" max="11777" width="4.42578125" style="337" customWidth="1"/>
    <col min="11778" max="11778" width="45.28515625" style="337" customWidth="1"/>
    <col min="11779" max="11779" width="10.28515625" style="337" customWidth="1"/>
    <col min="11780" max="11787" width="13.85546875" style="337" customWidth="1"/>
    <col min="11788" max="11788" width="3.7109375" style="337" customWidth="1"/>
    <col min="11789" max="12032" width="9.140625" style="337"/>
    <col min="12033" max="12033" width="4.42578125" style="337" customWidth="1"/>
    <col min="12034" max="12034" width="45.28515625" style="337" customWidth="1"/>
    <col min="12035" max="12035" width="10.28515625" style="337" customWidth="1"/>
    <col min="12036" max="12043" width="13.85546875" style="337" customWidth="1"/>
    <col min="12044" max="12044" width="3.7109375" style="337" customWidth="1"/>
    <col min="12045" max="12288" width="9.140625" style="337"/>
    <col min="12289" max="12289" width="4.42578125" style="337" customWidth="1"/>
    <col min="12290" max="12290" width="45.28515625" style="337" customWidth="1"/>
    <col min="12291" max="12291" width="10.28515625" style="337" customWidth="1"/>
    <col min="12292" max="12299" width="13.85546875" style="337" customWidth="1"/>
    <col min="12300" max="12300" width="3.7109375" style="337" customWidth="1"/>
    <col min="12301" max="12544" width="9.140625" style="337"/>
    <col min="12545" max="12545" width="4.42578125" style="337" customWidth="1"/>
    <col min="12546" max="12546" width="45.28515625" style="337" customWidth="1"/>
    <col min="12547" max="12547" width="10.28515625" style="337" customWidth="1"/>
    <col min="12548" max="12555" width="13.85546875" style="337" customWidth="1"/>
    <col min="12556" max="12556" width="3.7109375" style="337" customWidth="1"/>
    <col min="12557" max="12800" width="9.140625" style="337"/>
    <col min="12801" max="12801" width="4.42578125" style="337" customWidth="1"/>
    <col min="12802" max="12802" width="45.28515625" style="337" customWidth="1"/>
    <col min="12803" max="12803" width="10.28515625" style="337" customWidth="1"/>
    <col min="12804" max="12811" width="13.85546875" style="337" customWidth="1"/>
    <col min="12812" max="12812" width="3.7109375" style="337" customWidth="1"/>
    <col min="12813" max="13056" width="9.140625" style="337"/>
    <col min="13057" max="13057" width="4.42578125" style="337" customWidth="1"/>
    <col min="13058" max="13058" width="45.28515625" style="337" customWidth="1"/>
    <col min="13059" max="13059" width="10.28515625" style="337" customWidth="1"/>
    <col min="13060" max="13067" width="13.85546875" style="337" customWidth="1"/>
    <col min="13068" max="13068" width="3.7109375" style="337" customWidth="1"/>
    <col min="13069" max="13312" width="9.140625" style="337"/>
    <col min="13313" max="13313" width="4.42578125" style="337" customWidth="1"/>
    <col min="13314" max="13314" width="45.28515625" style="337" customWidth="1"/>
    <col min="13315" max="13315" width="10.28515625" style="337" customWidth="1"/>
    <col min="13316" max="13323" width="13.85546875" style="337" customWidth="1"/>
    <col min="13324" max="13324" width="3.7109375" style="337" customWidth="1"/>
    <col min="13325" max="13568" width="9.140625" style="337"/>
    <col min="13569" max="13569" width="4.42578125" style="337" customWidth="1"/>
    <col min="13570" max="13570" width="45.28515625" style="337" customWidth="1"/>
    <col min="13571" max="13571" width="10.28515625" style="337" customWidth="1"/>
    <col min="13572" max="13579" width="13.85546875" style="337" customWidth="1"/>
    <col min="13580" max="13580" width="3.7109375" style="337" customWidth="1"/>
    <col min="13581" max="13824" width="9.140625" style="337"/>
    <col min="13825" max="13825" width="4.42578125" style="337" customWidth="1"/>
    <col min="13826" max="13826" width="45.28515625" style="337" customWidth="1"/>
    <col min="13827" max="13827" width="10.28515625" style="337" customWidth="1"/>
    <col min="13828" max="13835" width="13.85546875" style="337" customWidth="1"/>
    <col min="13836" max="13836" width="3.7109375" style="337" customWidth="1"/>
    <col min="13837" max="14080" width="9.140625" style="337"/>
    <col min="14081" max="14081" width="4.42578125" style="337" customWidth="1"/>
    <col min="14082" max="14082" width="45.28515625" style="337" customWidth="1"/>
    <col min="14083" max="14083" width="10.28515625" style="337" customWidth="1"/>
    <col min="14084" max="14091" width="13.85546875" style="337" customWidth="1"/>
    <col min="14092" max="14092" width="3.7109375" style="337" customWidth="1"/>
    <col min="14093" max="14336" width="9.140625" style="337"/>
    <col min="14337" max="14337" width="4.42578125" style="337" customWidth="1"/>
    <col min="14338" max="14338" width="45.28515625" style="337" customWidth="1"/>
    <col min="14339" max="14339" width="10.28515625" style="337" customWidth="1"/>
    <col min="14340" max="14347" width="13.85546875" style="337" customWidth="1"/>
    <col min="14348" max="14348" width="3.7109375" style="337" customWidth="1"/>
    <col min="14349" max="14592" width="9.140625" style="337"/>
    <col min="14593" max="14593" width="4.42578125" style="337" customWidth="1"/>
    <col min="14594" max="14594" width="45.28515625" style="337" customWidth="1"/>
    <col min="14595" max="14595" width="10.28515625" style="337" customWidth="1"/>
    <col min="14596" max="14603" width="13.85546875" style="337" customWidth="1"/>
    <col min="14604" max="14604" width="3.7109375" style="337" customWidth="1"/>
    <col min="14605" max="14848" width="9.140625" style="337"/>
    <col min="14849" max="14849" width="4.42578125" style="337" customWidth="1"/>
    <col min="14850" max="14850" width="45.28515625" style="337" customWidth="1"/>
    <col min="14851" max="14851" width="10.28515625" style="337" customWidth="1"/>
    <col min="14852" max="14859" width="13.85546875" style="337" customWidth="1"/>
    <col min="14860" max="14860" width="3.7109375" style="337" customWidth="1"/>
    <col min="14861" max="15104" width="9.140625" style="337"/>
    <col min="15105" max="15105" width="4.42578125" style="337" customWidth="1"/>
    <col min="15106" max="15106" width="45.28515625" style="337" customWidth="1"/>
    <col min="15107" max="15107" width="10.28515625" style="337" customWidth="1"/>
    <col min="15108" max="15115" width="13.85546875" style="337" customWidth="1"/>
    <col min="15116" max="15116" width="3.7109375" style="337" customWidth="1"/>
    <col min="15117" max="15360" width="9.140625" style="337"/>
    <col min="15361" max="15361" width="4.42578125" style="337" customWidth="1"/>
    <col min="15362" max="15362" width="45.28515625" style="337" customWidth="1"/>
    <col min="15363" max="15363" width="10.28515625" style="337" customWidth="1"/>
    <col min="15364" max="15371" width="13.85546875" style="337" customWidth="1"/>
    <col min="15372" max="15372" width="3.7109375" style="337" customWidth="1"/>
    <col min="15373" max="15616" width="9.140625" style="337"/>
    <col min="15617" max="15617" width="4.42578125" style="337" customWidth="1"/>
    <col min="15618" max="15618" width="45.28515625" style="337" customWidth="1"/>
    <col min="15619" max="15619" width="10.28515625" style="337" customWidth="1"/>
    <col min="15620" max="15627" width="13.85546875" style="337" customWidth="1"/>
    <col min="15628" max="15628" width="3.7109375" style="337" customWidth="1"/>
    <col min="15629" max="15872" width="9.140625" style="337"/>
    <col min="15873" max="15873" width="4.42578125" style="337" customWidth="1"/>
    <col min="15874" max="15874" width="45.28515625" style="337" customWidth="1"/>
    <col min="15875" max="15875" width="10.28515625" style="337" customWidth="1"/>
    <col min="15876" max="15883" width="13.85546875" style="337" customWidth="1"/>
    <col min="15884" max="15884" width="3.7109375" style="337" customWidth="1"/>
    <col min="15885" max="16128" width="9.140625" style="337"/>
    <col min="16129" max="16129" width="4.42578125" style="337" customWidth="1"/>
    <col min="16130" max="16130" width="45.28515625" style="337" customWidth="1"/>
    <col min="16131" max="16131" width="10.28515625" style="337" customWidth="1"/>
    <col min="16132" max="16139" width="13.85546875" style="337" customWidth="1"/>
    <col min="16140" max="16140" width="3.7109375" style="337" customWidth="1"/>
    <col min="16141" max="16384" width="9.140625" style="337"/>
  </cols>
  <sheetData>
    <row r="2" spans="2:11">
      <c r="B2" s="337" t="s">
        <v>41</v>
      </c>
    </row>
    <row r="3" spans="2:11">
      <c r="B3" s="337" t="s">
        <v>394</v>
      </c>
    </row>
    <row r="4" spans="2:11">
      <c r="B4" s="600" t="s">
        <v>294</v>
      </c>
      <c r="C4" s="600"/>
      <c r="D4" s="600"/>
      <c r="E4" s="600"/>
      <c r="F4" s="600"/>
      <c r="G4" s="600"/>
      <c r="H4" s="600"/>
      <c r="I4" s="600"/>
      <c r="J4" s="600"/>
      <c r="K4" s="600"/>
    </row>
    <row r="5" spans="2:11" ht="13.5" thickBot="1"/>
    <row r="6" spans="2:11">
      <c r="B6" s="338" t="s">
        <v>148</v>
      </c>
      <c r="C6" s="339"/>
      <c r="D6" s="339"/>
      <c r="E6" s="339"/>
      <c r="F6" s="339"/>
      <c r="G6" s="339"/>
      <c r="H6" s="339"/>
      <c r="I6" s="339"/>
      <c r="J6" s="339"/>
      <c r="K6" s="340"/>
    </row>
    <row r="7" spans="2:11">
      <c r="B7" s="341" t="s">
        <v>419</v>
      </c>
      <c r="C7" s="342"/>
      <c r="D7" s="342"/>
      <c r="E7" s="342"/>
      <c r="F7" s="342"/>
      <c r="G7" s="342"/>
      <c r="H7" s="342"/>
      <c r="I7" s="342"/>
      <c r="J7" s="342"/>
      <c r="K7" s="343"/>
    </row>
    <row r="8" spans="2:11">
      <c r="B8" s="341" t="s">
        <v>295</v>
      </c>
      <c r="C8" s="344"/>
      <c r="D8" s="344"/>
      <c r="E8" s="342"/>
      <c r="F8" s="342"/>
      <c r="G8" s="342"/>
      <c r="H8" s="342"/>
      <c r="I8" s="342"/>
      <c r="J8" s="342"/>
      <c r="K8" s="343"/>
    </row>
    <row r="9" spans="2:11">
      <c r="B9" s="341" t="s">
        <v>296</v>
      </c>
      <c r="C9" s="344"/>
      <c r="D9" s="344"/>
      <c r="E9" s="342"/>
      <c r="F9" s="342"/>
      <c r="G9" s="342"/>
      <c r="H9" s="342"/>
      <c r="I9" s="342"/>
      <c r="J9" s="342"/>
      <c r="K9" s="343"/>
    </row>
    <row r="10" spans="2:11">
      <c r="B10" s="345" t="s">
        <v>297</v>
      </c>
      <c r="C10" s="344"/>
      <c r="D10" s="344"/>
      <c r="E10" s="342"/>
      <c r="F10" s="342"/>
      <c r="G10" s="342"/>
      <c r="H10" s="342"/>
      <c r="I10" s="342"/>
      <c r="J10" s="342"/>
      <c r="K10" s="343"/>
    </row>
    <row r="11" spans="2:11">
      <c r="B11" s="346" t="s">
        <v>298</v>
      </c>
      <c r="C11" s="347"/>
      <c r="D11" s="348"/>
      <c r="E11" s="349"/>
      <c r="F11" s="349"/>
      <c r="G11" s="349"/>
      <c r="H11" s="349"/>
      <c r="I11" s="349"/>
      <c r="J11" s="349"/>
      <c r="K11" s="350"/>
    </row>
    <row r="12" spans="2:11">
      <c r="B12" s="351"/>
      <c r="C12" s="601"/>
      <c r="D12" s="602"/>
      <c r="E12" s="602"/>
      <c r="F12" s="602"/>
      <c r="G12" s="602"/>
      <c r="H12" s="602"/>
      <c r="I12" s="602"/>
      <c r="J12" s="602"/>
      <c r="K12" s="603"/>
    </row>
    <row r="13" spans="2:11">
      <c r="B13" s="352"/>
      <c r="C13" s="604"/>
      <c r="D13" s="604"/>
      <c r="E13" s="604"/>
      <c r="F13" s="604"/>
      <c r="G13" s="604"/>
      <c r="H13" s="604"/>
      <c r="I13" s="604"/>
      <c r="J13" s="604"/>
      <c r="K13" s="605"/>
    </row>
    <row r="14" spans="2:11" ht="13.5">
      <c r="B14" s="353" t="s">
        <v>299</v>
      </c>
      <c r="C14" s="354"/>
      <c r="D14" s="354"/>
      <c r="E14" s="354"/>
      <c r="F14" s="354"/>
      <c r="G14" s="354"/>
      <c r="H14" s="354"/>
      <c r="I14" s="354"/>
      <c r="J14" s="354"/>
      <c r="K14" s="355"/>
    </row>
    <row r="15" spans="2:11">
      <c r="B15" s="356" t="s">
        <v>300</v>
      </c>
      <c r="C15" s="357" t="s">
        <v>301</v>
      </c>
      <c r="D15" s="358" t="s">
        <v>302</v>
      </c>
      <c r="E15" s="359"/>
      <c r="F15" s="360"/>
      <c r="G15" s="358" t="s">
        <v>303</v>
      </c>
      <c r="H15" s="360"/>
      <c r="I15" s="358" t="s">
        <v>304</v>
      </c>
      <c r="J15" s="359"/>
      <c r="K15" s="361"/>
    </row>
    <row r="16" spans="2:11" ht="13.5" thickBot="1">
      <c r="B16" s="362"/>
      <c r="C16" s="363"/>
      <c r="D16" s="364"/>
      <c r="E16" s="342"/>
      <c r="F16" s="363"/>
      <c r="G16" s="364"/>
      <c r="H16" s="365"/>
      <c r="I16" s="364"/>
      <c r="J16" s="342"/>
      <c r="K16" s="366"/>
    </row>
    <row r="17" spans="2:11" ht="42" thickBot="1">
      <c r="B17" s="367" t="s">
        <v>305</v>
      </c>
      <c r="C17" s="368" t="s">
        <v>306</v>
      </c>
      <c r="D17" s="369" t="s">
        <v>307</v>
      </c>
      <c r="E17" s="370" t="s">
        <v>308</v>
      </c>
      <c r="F17" s="370" t="s">
        <v>309</v>
      </c>
      <c r="G17" s="370" t="s">
        <v>310</v>
      </c>
      <c r="H17" s="370" t="s">
        <v>311</v>
      </c>
      <c r="I17" s="370" t="s">
        <v>312</v>
      </c>
      <c r="J17" s="370" t="s">
        <v>313</v>
      </c>
      <c r="K17" s="371" t="s">
        <v>314</v>
      </c>
    </row>
    <row r="18" spans="2:11">
      <c r="B18" s="372"/>
      <c r="C18" s="342"/>
      <c r="D18" s="342"/>
      <c r="E18" s="342"/>
      <c r="F18" s="342"/>
      <c r="G18" s="342"/>
      <c r="H18" s="342"/>
      <c r="I18" s="342"/>
      <c r="J18" s="342"/>
      <c r="K18" s="343"/>
    </row>
    <row r="19" spans="2:11">
      <c r="B19" s="373" t="s">
        <v>315</v>
      </c>
      <c r="C19" s="342"/>
      <c r="D19" s="342"/>
      <c r="E19" s="342"/>
      <c r="F19" s="342"/>
      <c r="G19" s="342"/>
      <c r="H19" s="342"/>
      <c r="I19" s="342"/>
      <c r="J19" s="342"/>
      <c r="K19" s="343"/>
    </row>
    <row r="20" spans="2:11">
      <c r="B20" s="374" t="s">
        <v>316</v>
      </c>
      <c r="C20" s="375">
        <v>2</v>
      </c>
      <c r="D20" s="376">
        <v>0.29499999999999998</v>
      </c>
      <c r="E20" s="377">
        <v>0.31</v>
      </c>
      <c r="F20" s="377">
        <f t="shared" ref="F20:F45" si="0">(C20*D20*E20)</f>
        <v>0.18289999999999998</v>
      </c>
      <c r="G20" s="377">
        <f>VLOOKUP(B20,'9.2.9c FHC Control Factors'!$C$9:$J$34,8,FALSE)</f>
        <v>0.8</v>
      </c>
      <c r="H20" s="377">
        <f>(I20/24)</f>
        <v>1.5241666666666661E-3</v>
      </c>
      <c r="I20" s="377">
        <f>(F20*(1-G20))</f>
        <v>3.6579999999999988E-2</v>
      </c>
      <c r="J20" s="377">
        <f>H20*2190/2000</f>
        <v>1.6689624999999995E-3</v>
      </c>
      <c r="K20" s="378">
        <f>(H20*8760/2000)</f>
        <v>6.6758499999999979E-3</v>
      </c>
    </row>
    <row r="21" spans="2:11">
      <c r="B21" s="374" t="s">
        <v>317</v>
      </c>
      <c r="C21" s="379"/>
      <c r="D21" s="376">
        <v>0.29499999999999998</v>
      </c>
      <c r="E21" s="377">
        <v>0.31</v>
      </c>
      <c r="F21" s="377">
        <f t="shared" si="0"/>
        <v>0</v>
      </c>
      <c r="G21" s="377">
        <f>VLOOKUP(B21,'9.2.9c FHC Control Factors'!$C$9:$J$34,8,FALSE)</f>
        <v>0</v>
      </c>
      <c r="H21" s="377">
        <f t="shared" ref="H21:H44" si="1">(I21/24)</f>
        <v>0</v>
      </c>
      <c r="I21" s="377">
        <f t="shared" ref="I21:I44" si="2">(F21*(1-G21))</f>
        <v>0</v>
      </c>
      <c r="J21" s="377">
        <f t="shared" ref="J21:J44" si="3">H21*2190/2000</f>
        <v>0</v>
      </c>
      <c r="K21" s="378">
        <f t="shared" ref="K21:K44" si="4">(H21*8760/2000)</f>
        <v>0</v>
      </c>
    </row>
    <row r="22" spans="2:11">
      <c r="B22" s="380" t="s">
        <v>318</v>
      </c>
      <c r="C22" s="379"/>
      <c r="D22" s="376">
        <v>0.29499999999999998</v>
      </c>
      <c r="E22" s="377">
        <v>0.31</v>
      </c>
      <c r="F22" s="377">
        <f t="shared" si="0"/>
        <v>0</v>
      </c>
      <c r="G22" s="377">
        <f>VLOOKUP(B22,'9.2.9c FHC Control Factors'!$C$9:$J$34,8,FALSE)</f>
        <v>0.9</v>
      </c>
      <c r="H22" s="377">
        <f t="shared" si="1"/>
        <v>0</v>
      </c>
      <c r="I22" s="377">
        <f t="shared" si="2"/>
        <v>0</v>
      </c>
      <c r="J22" s="377">
        <f t="shared" si="3"/>
        <v>0</v>
      </c>
      <c r="K22" s="378">
        <f t="shared" si="4"/>
        <v>0</v>
      </c>
    </row>
    <row r="23" spans="2:11">
      <c r="B23" s="380" t="s">
        <v>319</v>
      </c>
      <c r="C23" s="379"/>
      <c r="D23" s="376">
        <v>0.29499999999999998</v>
      </c>
      <c r="E23" s="377">
        <v>0.31</v>
      </c>
      <c r="F23" s="377">
        <f t="shared" si="0"/>
        <v>0</v>
      </c>
      <c r="G23" s="377">
        <f>VLOOKUP(B23,'9.2.9c FHC Control Factors'!$C$9:$J$34,8,FALSE)</f>
        <v>1</v>
      </c>
      <c r="H23" s="377">
        <f t="shared" si="1"/>
        <v>0</v>
      </c>
      <c r="I23" s="377">
        <f t="shared" si="2"/>
        <v>0</v>
      </c>
      <c r="J23" s="377">
        <f t="shared" si="3"/>
        <v>0</v>
      </c>
      <c r="K23" s="378">
        <f t="shared" si="4"/>
        <v>0</v>
      </c>
    </row>
    <row r="24" spans="2:11">
      <c r="B24" s="374" t="s">
        <v>320</v>
      </c>
      <c r="C24" s="379"/>
      <c r="D24" s="376">
        <v>0.29499999999999998</v>
      </c>
      <c r="E24" s="377">
        <v>0.31</v>
      </c>
      <c r="F24" s="377">
        <f t="shared" si="0"/>
        <v>0</v>
      </c>
      <c r="G24" s="377">
        <f>VLOOKUP(B24,'9.2.9c FHC Control Factors'!$C$9:$J$34,8,FALSE)</f>
        <v>0.84</v>
      </c>
      <c r="H24" s="377">
        <f t="shared" si="1"/>
        <v>0</v>
      </c>
      <c r="I24" s="377">
        <f t="shared" si="2"/>
        <v>0</v>
      </c>
      <c r="J24" s="377">
        <f t="shared" si="3"/>
        <v>0</v>
      </c>
      <c r="K24" s="378">
        <f t="shared" si="4"/>
        <v>0</v>
      </c>
    </row>
    <row r="25" spans="2:11">
      <c r="B25" s="374" t="s">
        <v>321</v>
      </c>
      <c r="C25" s="379"/>
      <c r="D25" s="376">
        <v>0.29499999999999998</v>
      </c>
      <c r="E25" s="377">
        <v>0.31</v>
      </c>
      <c r="F25" s="377">
        <f t="shared" si="0"/>
        <v>0</v>
      </c>
      <c r="G25" s="377">
        <f>VLOOKUP(B25,'9.2.9c FHC Control Factors'!$C$9:$J$34,8,FALSE)</f>
        <v>0.85</v>
      </c>
      <c r="H25" s="377">
        <f t="shared" si="1"/>
        <v>0</v>
      </c>
      <c r="I25" s="377">
        <f t="shared" si="2"/>
        <v>0</v>
      </c>
      <c r="J25" s="377">
        <f t="shared" si="3"/>
        <v>0</v>
      </c>
      <c r="K25" s="378">
        <f t="shared" si="4"/>
        <v>0</v>
      </c>
    </row>
    <row r="26" spans="2:11">
      <c r="B26" s="374" t="s">
        <v>322</v>
      </c>
      <c r="C26" s="379"/>
      <c r="D26" s="376">
        <v>0.29499999999999998</v>
      </c>
      <c r="E26" s="377">
        <v>0.31</v>
      </c>
      <c r="F26" s="377">
        <f t="shared" si="0"/>
        <v>0</v>
      </c>
      <c r="G26" s="377">
        <f>VLOOKUP(B26,'9.2.9c FHC Control Factors'!$C$9:$J$34,8,FALSE)</f>
        <v>0.87</v>
      </c>
      <c r="H26" s="377">
        <f t="shared" si="1"/>
        <v>0</v>
      </c>
      <c r="I26" s="377">
        <f t="shared" si="2"/>
        <v>0</v>
      </c>
      <c r="J26" s="377">
        <f t="shared" si="3"/>
        <v>0</v>
      </c>
      <c r="K26" s="378">
        <f t="shared" si="4"/>
        <v>0</v>
      </c>
    </row>
    <row r="27" spans="2:11">
      <c r="B27" s="374" t="s">
        <v>323</v>
      </c>
      <c r="C27" s="379"/>
      <c r="D27" s="376">
        <v>0.29499999999999998</v>
      </c>
      <c r="E27" s="377">
        <v>0.31</v>
      </c>
      <c r="F27" s="377">
        <f t="shared" si="0"/>
        <v>0</v>
      </c>
      <c r="G27" s="377">
        <f>VLOOKUP(B27,'9.2.9c FHC Control Factors'!$C$9:$J$34,8,FALSE)</f>
        <v>0.87</v>
      </c>
      <c r="H27" s="377">
        <f t="shared" si="1"/>
        <v>0</v>
      </c>
      <c r="I27" s="377">
        <f t="shared" si="2"/>
        <v>0</v>
      </c>
      <c r="J27" s="377">
        <f t="shared" si="3"/>
        <v>0</v>
      </c>
      <c r="K27" s="378">
        <f t="shared" si="4"/>
        <v>0</v>
      </c>
    </row>
    <row r="28" spans="2:11" s="342" customFormat="1">
      <c r="B28" s="374" t="s">
        <v>324</v>
      </c>
      <c r="C28" s="379"/>
      <c r="D28" s="376">
        <v>0.29499999999999998</v>
      </c>
      <c r="E28" s="377">
        <v>0.31</v>
      </c>
      <c r="F28" s="377">
        <f t="shared" si="0"/>
        <v>0</v>
      </c>
      <c r="G28" s="377">
        <f>VLOOKUP(B28,'9.2.9c FHC Control Factors'!$C$9:$J$34,8,FALSE)</f>
        <v>0.88</v>
      </c>
      <c r="H28" s="377">
        <f t="shared" si="1"/>
        <v>0</v>
      </c>
      <c r="I28" s="377">
        <f t="shared" si="2"/>
        <v>0</v>
      </c>
      <c r="J28" s="377">
        <f t="shared" si="3"/>
        <v>0</v>
      </c>
      <c r="K28" s="378">
        <f t="shared" si="4"/>
        <v>0</v>
      </c>
    </row>
    <row r="29" spans="2:11">
      <c r="B29" s="374" t="s">
        <v>325</v>
      </c>
      <c r="C29" s="379"/>
      <c r="D29" s="381">
        <v>0.29499999999999998</v>
      </c>
      <c r="E29" s="377">
        <v>0.31</v>
      </c>
      <c r="F29" s="377">
        <f t="shared" si="0"/>
        <v>0</v>
      </c>
      <c r="G29" s="377">
        <f>VLOOKUP(B29,'9.2.9c FHC Control Factors'!$C$9:$J$34,8,FALSE)</f>
        <v>0.9</v>
      </c>
      <c r="H29" s="377">
        <f t="shared" si="1"/>
        <v>0</v>
      </c>
      <c r="I29" s="377">
        <f t="shared" si="2"/>
        <v>0</v>
      </c>
      <c r="J29" s="377">
        <f t="shared" si="3"/>
        <v>0</v>
      </c>
      <c r="K29" s="378">
        <f t="shared" si="4"/>
        <v>0</v>
      </c>
    </row>
    <row r="30" spans="2:11">
      <c r="B30" s="374" t="s">
        <v>326</v>
      </c>
      <c r="C30" s="379"/>
      <c r="D30" s="381">
        <v>0.29499999999999998</v>
      </c>
      <c r="E30" s="377">
        <v>0.31</v>
      </c>
      <c r="F30" s="377">
        <f t="shared" si="0"/>
        <v>0</v>
      </c>
      <c r="G30" s="377">
        <f>VLOOKUP(B30,'9.2.9c FHC Control Factors'!$C$9:$J$34,8,FALSE)</f>
        <v>0.92</v>
      </c>
      <c r="H30" s="377">
        <f t="shared" si="1"/>
        <v>0</v>
      </c>
      <c r="I30" s="377">
        <f t="shared" si="2"/>
        <v>0</v>
      </c>
      <c r="J30" s="377">
        <f t="shared" si="3"/>
        <v>0</v>
      </c>
      <c r="K30" s="378">
        <f t="shared" si="4"/>
        <v>0</v>
      </c>
    </row>
    <row r="31" spans="2:11">
      <c r="B31" s="374" t="s">
        <v>327</v>
      </c>
      <c r="C31" s="379">
        <v>15</v>
      </c>
      <c r="D31" s="382">
        <v>7.0000000000000007E-2</v>
      </c>
      <c r="E31" s="377">
        <v>0.31</v>
      </c>
      <c r="F31" s="377">
        <f t="shared" si="0"/>
        <v>0.32550000000000001</v>
      </c>
      <c r="G31" s="377">
        <f>VLOOKUP(B31,'9.2.9c FHC Control Factors'!$C$9:$J$34,8,FALSE)</f>
        <v>0.8</v>
      </c>
      <c r="H31" s="377">
        <f t="shared" si="1"/>
        <v>2.7124999999999996E-3</v>
      </c>
      <c r="I31" s="377">
        <f t="shared" si="2"/>
        <v>6.5099999999999991E-2</v>
      </c>
      <c r="J31" s="377">
        <f t="shared" si="3"/>
        <v>2.9701874999999997E-3</v>
      </c>
      <c r="K31" s="378">
        <f t="shared" si="4"/>
        <v>1.1880749999999999E-2</v>
      </c>
    </row>
    <row r="32" spans="2:11">
      <c r="B32" s="374" t="s">
        <v>328</v>
      </c>
      <c r="C32" s="379"/>
      <c r="D32" s="382">
        <v>7.0000000000000007E-2</v>
      </c>
      <c r="E32" s="377">
        <v>0.31</v>
      </c>
      <c r="F32" s="377">
        <f t="shared" si="0"/>
        <v>0</v>
      </c>
      <c r="G32" s="377">
        <f>VLOOKUP(B32,'9.2.9c FHC Control Factors'!$C$9:$J$34,8,FALSE)</f>
        <v>0</v>
      </c>
      <c r="H32" s="377">
        <f t="shared" si="1"/>
        <v>0</v>
      </c>
      <c r="I32" s="377">
        <f t="shared" si="2"/>
        <v>0</v>
      </c>
      <c r="J32" s="377">
        <f t="shared" si="3"/>
        <v>0</v>
      </c>
      <c r="K32" s="378">
        <f t="shared" si="4"/>
        <v>0</v>
      </c>
    </row>
    <row r="33" spans="1:12">
      <c r="B33" s="380" t="s">
        <v>329</v>
      </c>
      <c r="C33" s="379"/>
      <c r="D33" s="382">
        <v>7.0000000000000007E-2</v>
      </c>
      <c r="E33" s="377">
        <v>0.31</v>
      </c>
      <c r="F33" s="377">
        <f t="shared" si="0"/>
        <v>0</v>
      </c>
      <c r="G33" s="377">
        <f>VLOOKUP(B33,'9.2.9c FHC Control Factors'!$C$9:$J$34,8,FALSE)</f>
        <v>0.84</v>
      </c>
      <c r="H33" s="377">
        <f t="shared" si="1"/>
        <v>0</v>
      </c>
      <c r="I33" s="377">
        <f t="shared" si="2"/>
        <v>0</v>
      </c>
      <c r="J33" s="377">
        <f t="shared" si="3"/>
        <v>0</v>
      </c>
      <c r="K33" s="378">
        <f t="shared" si="4"/>
        <v>0</v>
      </c>
    </row>
    <row r="34" spans="1:12">
      <c r="B34" s="380" t="s">
        <v>330</v>
      </c>
      <c r="C34" s="379"/>
      <c r="D34" s="382">
        <v>7.0000000000000007E-2</v>
      </c>
      <c r="E34" s="377">
        <v>0.31</v>
      </c>
      <c r="F34" s="377">
        <f t="shared" si="0"/>
        <v>0</v>
      </c>
      <c r="G34" s="377">
        <f>VLOOKUP(B34,'9.2.9c FHC Control Factors'!$C$9:$J$34,8,FALSE)</f>
        <v>0.85</v>
      </c>
      <c r="H34" s="377">
        <f t="shared" si="1"/>
        <v>0</v>
      </c>
      <c r="I34" s="377">
        <f t="shared" si="2"/>
        <v>0</v>
      </c>
      <c r="J34" s="377">
        <f t="shared" si="3"/>
        <v>0</v>
      </c>
      <c r="K34" s="378">
        <f t="shared" si="4"/>
        <v>0</v>
      </c>
    </row>
    <row r="35" spans="1:12">
      <c r="B35" s="380" t="s">
        <v>331</v>
      </c>
      <c r="C35" s="379"/>
      <c r="D35" s="383">
        <v>7.0000000000000007E-2</v>
      </c>
      <c r="E35" s="377">
        <v>0.31</v>
      </c>
      <c r="F35" s="377">
        <f t="shared" si="0"/>
        <v>0</v>
      </c>
      <c r="G35" s="377">
        <f>VLOOKUP(B35,'9.2.9c FHC Control Factors'!$C$9:$J$34,8,FALSE)</f>
        <v>0.87</v>
      </c>
      <c r="H35" s="377">
        <f t="shared" si="1"/>
        <v>0</v>
      </c>
      <c r="I35" s="377">
        <f t="shared" si="2"/>
        <v>0</v>
      </c>
      <c r="J35" s="377">
        <f t="shared" si="3"/>
        <v>0</v>
      </c>
      <c r="K35" s="378">
        <f t="shared" si="4"/>
        <v>0</v>
      </c>
    </row>
    <row r="36" spans="1:12">
      <c r="B36" s="380" t="s">
        <v>332</v>
      </c>
      <c r="C36" s="375"/>
      <c r="D36" s="383">
        <v>7.0000000000000007E-2</v>
      </c>
      <c r="E36" s="377">
        <v>0.31</v>
      </c>
      <c r="F36" s="377">
        <f t="shared" si="0"/>
        <v>0</v>
      </c>
      <c r="G36" s="377">
        <f>VLOOKUP(B36,'9.2.9c FHC Control Factors'!$C$9:$J$34,8,FALSE)</f>
        <v>0.87</v>
      </c>
      <c r="H36" s="377">
        <f t="shared" si="1"/>
        <v>0</v>
      </c>
      <c r="I36" s="377">
        <f t="shared" si="2"/>
        <v>0</v>
      </c>
      <c r="J36" s="377">
        <f t="shared" si="3"/>
        <v>0</v>
      </c>
      <c r="K36" s="378">
        <f t="shared" si="4"/>
        <v>0</v>
      </c>
    </row>
    <row r="37" spans="1:12">
      <c r="B37" s="380" t="s">
        <v>333</v>
      </c>
      <c r="C37" s="379"/>
      <c r="D37" s="383">
        <v>7.0000000000000007E-2</v>
      </c>
      <c r="E37" s="377">
        <v>0.31</v>
      </c>
      <c r="F37" s="377">
        <f t="shared" si="0"/>
        <v>0</v>
      </c>
      <c r="G37" s="377">
        <f>VLOOKUP(B37,'9.2.9c FHC Control Factors'!$C$9:$J$34,8,FALSE)</f>
        <v>0.88</v>
      </c>
      <c r="H37" s="377">
        <f t="shared" si="1"/>
        <v>0</v>
      </c>
      <c r="I37" s="377">
        <f t="shared" si="2"/>
        <v>0</v>
      </c>
      <c r="J37" s="377">
        <f t="shared" si="3"/>
        <v>0</v>
      </c>
      <c r="K37" s="378">
        <f t="shared" si="4"/>
        <v>0</v>
      </c>
    </row>
    <row r="38" spans="1:12">
      <c r="B38" s="380" t="s">
        <v>334</v>
      </c>
      <c r="C38" s="379"/>
      <c r="D38" s="383">
        <v>7.0000000000000007E-2</v>
      </c>
      <c r="E38" s="377">
        <v>0.31</v>
      </c>
      <c r="F38" s="377">
        <f t="shared" si="0"/>
        <v>0</v>
      </c>
      <c r="G38" s="377">
        <f>VLOOKUP(B38,'9.2.9c FHC Control Factors'!$C$9:$J$34,8,FALSE)</f>
        <v>0.9</v>
      </c>
      <c r="H38" s="377">
        <f t="shared" si="1"/>
        <v>0</v>
      </c>
      <c r="I38" s="377">
        <f t="shared" si="2"/>
        <v>0</v>
      </c>
      <c r="J38" s="377">
        <f t="shared" si="3"/>
        <v>0</v>
      </c>
      <c r="K38" s="378">
        <f t="shared" si="4"/>
        <v>0</v>
      </c>
    </row>
    <row r="39" spans="1:12">
      <c r="B39" s="380" t="s">
        <v>335</v>
      </c>
      <c r="C39" s="379"/>
      <c r="D39" s="383">
        <v>7.0000000000000007E-2</v>
      </c>
      <c r="E39" s="377">
        <v>0.31</v>
      </c>
      <c r="F39" s="377">
        <f t="shared" si="0"/>
        <v>0</v>
      </c>
      <c r="G39" s="377">
        <f>VLOOKUP(B39,'9.2.9c FHC Control Factors'!$C$9:$J$34,8,FALSE)</f>
        <v>0.92</v>
      </c>
      <c r="H39" s="377">
        <f t="shared" si="1"/>
        <v>0</v>
      </c>
      <c r="I39" s="377">
        <f t="shared" si="2"/>
        <v>0</v>
      </c>
      <c r="J39" s="377">
        <f t="shared" si="3"/>
        <v>0</v>
      </c>
      <c r="K39" s="378">
        <f t="shared" si="4"/>
        <v>0</v>
      </c>
    </row>
    <row r="40" spans="1:12">
      <c r="B40" s="372" t="s">
        <v>336</v>
      </c>
      <c r="C40" s="375"/>
      <c r="D40" s="376">
        <v>2.1429999999999998</v>
      </c>
      <c r="E40" s="377">
        <v>0.31</v>
      </c>
      <c r="F40" s="377">
        <f t="shared" si="0"/>
        <v>0</v>
      </c>
      <c r="G40" s="377">
        <f>VLOOKUP(B40,'9.2.9c FHC Control Factors'!$C$9:$J$34,8,FALSE)</f>
        <v>0.8</v>
      </c>
      <c r="H40" s="377">
        <f t="shared" si="1"/>
        <v>0</v>
      </c>
      <c r="I40" s="377">
        <f t="shared" si="2"/>
        <v>0</v>
      </c>
      <c r="J40" s="377">
        <f t="shared" si="3"/>
        <v>0</v>
      </c>
      <c r="K40" s="378">
        <f t="shared" si="4"/>
        <v>0</v>
      </c>
    </row>
    <row r="41" spans="1:12" s="342" customFormat="1">
      <c r="B41" s="372" t="s">
        <v>337</v>
      </c>
      <c r="C41" s="379"/>
      <c r="D41" s="376">
        <v>2.1429999999999998</v>
      </c>
      <c r="E41" s="377">
        <v>0.31</v>
      </c>
      <c r="F41" s="377">
        <f t="shared" si="0"/>
        <v>0</v>
      </c>
      <c r="G41" s="377">
        <f>VLOOKUP(B41,'9.2.9c FHC Control Factors'!$C$9:$J$34,8,FALSE)</f>
        <v>1</v>
      </c>
      <c r="H41" s="377">
        <f t="shared" si="1"/>
        <v>0</v>
      </c>
      <c r="I41" s="377">
        <f t="shared" si="2"/>
        <v>0</v>
      </c>
      <c r="J41" s="377">
        <f t="shared" si="3"/>
        <v>0</v>
      </c>
      <c r="K41" s="378">
        <f t="shared" si="4"/>
        <v>0</v>
      </c>
    </row>
    <row r="42" spans="1:12">
      <c r="B42" s="372" t="s">
        <v>338</v>
      </c>
      <c r="C42" s="379">
        <v>0</v>
      </c>
      <c r="D42" s="383">
        <v>6.67</v>
      </c>
      <c r="E42" s="377">
        <v>0.31</v>
      </c>
      <c r="F42" s="377">
        <f t="shared" si="0"/>
        <v>0</v>
      </c>
      <c r="G42" s="377">
        <f>VLOOKUP(B42,'9.2.9c FHC Control Factors'!$C$9:$J$34,8,FALSE)</f>
        <v>0.8</v>
      </c>
      <c r="H42" s="377">
        <f t="shared" si="1"/>
        <v>0</v>
      </c>
      <c r="I42" s="377">
        <f t="shared" si="2"/>
        <v>0</v>
      </c>
      <c r="J42" s="377">
        <f t="shared" si="3"/>
        <v>0</v>
      </c>
      <c r="K42" s="378">
        <f t="shared" si="4"/>
        <v>0</v>
      </c>
    </row>
    <row r="43" spans="1:12">
      <c r="B43" s="372" t="s">
        <v>339</v>
      </c>
      <c r="C43" s="379"/>
      <c r="D43" s="383">
        <v>6.67</v>
      </c>
      <c r="E43" s="377">
        <v>0.31</v>
      </c>
      <c r="F43" s="377">
        <f t="shared" si="0"/>
        <v>0</v>
      </c>
      <c r="G43" s="377">
        <f>VLOOKUP(B43,'9.2.9c FHC Control Factors'!$C$9:$J$34,8,FALSE)</f>
        <v>1</v>
      </c>
      <c r="H43" s="377">
        <f t="shared" si="1"/>
        <v>0</v>
      </c>
      <c r="I43" s="377">
        <f t="shared" si="2"/>
        <v>0</v>
      </c>
      <c r="J43" s="377">
        <f t="shared" si="3"/>
        <v>0</v>
      </c>
      <c r="K43" s="378">
        <f t="shared" si="4"/>
        <v>0</v>
      </c>
    </row>
    <row r="44" spans="1:12">
      <c r="B44" s="372" t="s">
        <v>340</v>
      </c>
      <c r="C44" s="379">
        <v>0</v>
      </c>
      <c r="D44" s="376">
        <v>1.123</v>
      </c>
      <c r="E44" s="377">
        <v>0.31</v>
      </c>
      <c r="F44" s="377">
        <f t="shared" si="0"/>
        <v>0</v>
      </c>
      <c r="G44" s="377">
        <f>VLOOKUP(B44,'9.2.9c FHC Control Factors'!$C$9:$J$34,8,FALSE)</f>
        <v>0.8</v>
      </c>
      <c r="H44" s="377">
        <f t="shared" si="1"/>
        <v>0</v>
      </c>
      <c r="I44" s="377">
        <f t="shared" si="2"/>
        <v>0</v>
      </c>
      <c r="J44" s="377">
        <f t="shared" si="3"/>
        <v>0</v>
      </c>
      <c r="K44" s="378">
        <f t="shared" si="4"/>
        <v>0</v>
      </c>
    </row>
    <row r="45" spans="1:12">
      <c r="B45" s="384" t="s">
        <v>341</v>
      </c>
      <c r="C45" s="385"/>
      <c r="D45" s="386">
        <v>1.123</v>
      </c>
      <c r="E45" s="387">
        <v>0.31</v>
      </c>
      <c r="F45" s="387">
        <f t="shared" si="0"/>
        <v>0</v>
      </c>
      <c r="G45" s="387">
        <f>VLOOKUP(B45,'9.2.9c FHC Control Factors'!$C$9:$J$34,8,FALSE)</f>
        <v>1</v>
      </c>
      <c r="H45" s="387">
        <f>(I45/24)</f>
        <v>0</v>
      </c>
      <c r="I45" s="387">
        <f>(F45*(1-G45))</f>
        <v>0</v>
      </c>
      <c r="J45" s="387">
        <f>H45*2190/2000</f>
        <v>0</v>
      </c>
      <c r="K45" s="388">
        <f>(H45*8760/2000)</f>
        <v>0</v>
      </c>
    </row>
    <row r="46" spans="1:12" ht="13.5" thickBot="1">
      <c r="B46" s="389" t="s">
        <v>342</v>
      </c>
      <c r="C46" s="390">
        <f>SUM(C20:C45)</f>
        <v>17</v>
      </c>
      <c r="D46" s="391"/>
      <c r="E46" s="392"/>
      <c r="F46" s="392">
        <f>SUM(F20:F45)</f>
        <v>0.50839999999999996</v>
      </c>
      <c r="G46" s="392"/>
      <c r="H46" s="393">
        <f>SUM(H20:H45)</f>
        <v>4.2366666666666655E-3</v>
      </c>
      <c r="I46" s="393">
        <f>SUM(I20:I45)</f>
        <v>0.10167999999999998</v>
      </c>
      <c r="J46" s="393">
        <f>SUM(J20:J45)</f>
        <v>4.639149999999999E-3</v>
      </c>
      <c r="K46" s="394">
        <f>SUM(K20:K45)</f>
        <v>1.8556599999999996E-2</v>
      </c>
    </row>
    <row r="47" spans="1:12" ht="13.5" thickBot="1">
      <c r="A47" s="342"/>
      <c r="B47" s="342"/>
      <c r="C47" s="395"/>
      <c r="D47" s="376"/>
      <c r="E47" s="376"/>
      <c r="F47" s="396"/>
      <c r="G47" s="396"/>
      <c r="H47" s="396"/>
      <c r="I47" s="396"/>
      <c r="J47" s="396"/>
      <c r="K47" s="377"/>
      <c r="L47" s="342"/>
    </row>
    <row r="48" spans="1:12">
      <c r="B48" s="397" t="s">
        <v>38</v>
      </c>
      <c r="C48" s="398"/>
      <c r="D48" s="399"/>
      <c r="E48" s="399"/>
      <c r="F48" s="400"/>
      <c r="G48" s="400"/>
      <c r="H48" s="400"/>
      <c r="I48" s="400"/>
      <c r="J48" s="400"/>
      <c r="K48" s="401"/>
    </row>
    <row r="49" spans="2:11">
      <c r="B49" s="374" t="s">
        <v>316</v>
      </c>
      <c r="C49" s="375"/>
      <c r="D49" s="376">
        <v>4.1000000000000003E-3</v>
      </c>
      <c r="E49" s="376">
        <v>0.56000000000000005</v>
      </c>
      <c r="F49" s="396">
        <f t="shared" ref="F49:F72" si="5">(C49*D49*E49)</f>
        <v>0</v>
      </c>
      <c r="G49" s="377">
        <f>VLOOKUP(B49,'9.2.9c FHC Control Factors'!$C$9:$J$34,8,FALSE)</f>
        <v>0.8</v>
      </c>
      <c r="H49" s="377">
        <f>(I49/24)</f>
        <v>0</v>
      </c>
      <c r="I49" s="377">
        <f>(F49*(1-G49))</f>
        <v>0</v>
      </c>
      <c r="J49" s="377">
        <f>H49*2190/2000</f>
        <v>0</v>
      </c>
      <c r="K49" s="378">
        <f>(H49*8760/2000)</f>
        <v>0</v>
      </c>
    </row>
    <row r="50" spans="2:11">
      <c r="B50" s="374" t="s">
        <v>317</v>
      </c>
      <c r="C50" s="379"/>
      <c r="D50" s="376">
        <v>4.1000000000000003E-3</v>
      </c>
      <c r="E50" s="376">
        <v>0.56000000000000005</v>
      </c>
      <c r="F50" s="396">
        <f t="shared" si="5"/>
        <v>0</v>
      </c>
      <c r="G50" s="377">
        <f>VLOOKUP(B50,'9.2.9c FHC Control Factors'!$C$9:$J$34,8,FALSE)</f>
        <v>0</v>
      </c>
      <c r="H50" s="377">
        <f t="shared" ref="H50:H71" si="6">(I50/24)</f>
        <v>0</v>
      </c>
      <c r="I50" s="377">
        <f t="shared" ref="I50:I71" si="7">(F50*(1-G50))</f>
        <v>0</v>
      </c>
      <c r="J50" s="377">
        <f t="shared" ref="J50:J71" si="8">H50*2190/2000</f>
        <v>0</v>
      </c>
      <c r="K50" s="378">
        <f t="shared" ref="K50:K71" si="9">(H50*8760/2000)</f>
        <v>0</v>
      </c>
    </row>
    <row r="51" spans="2:11">
      <c r="B51" s="380" t="s">
        <v>318</v>
      </c>
      <c r="C51" s="379"/>
      <c r="D51" s="376">
        <v>4.1000000000000003E-3</v>
      </c>
      <c r="E51" s="376">
        <v>0.56000000000000005</v>
      </c>
      <c r="F51" s="396">
        <f t="shared" si="5"/>
        <v>0</v>
      </c>
      <c r="G51" s="377">
        <f>VLOOKUP(B51,'9.2.9c FHC Control Factors'!$C$9:$J$34,8,FALSE)</f>
        <v>0.9</v>
      </c>
      <c r="H51" s="377">
        <f t="shared" si="6"/>
        <v>0</v>
      </c>
      <c r="I51" s="377">
        <f t="shared" si="7"/>
        <v>0</v>
      </c>
      <c r="J51" s="377">
        <f t="shared" si="8"/>
        <v>0</v>
      </c>
      <c r="K51" s="378">
        <f t="shared" si="9"/>
        <v>0</v>
      </c>
    </row>
    <row r="52" spans="2:11">
      <c r="B52" s="380" t="s">
        <v>319</v>
      </c>
      <c r="C52" s="379"/>
      <c r="D52" s="376">
        <v>4.1000000000000003E-3</v>
      </c>
      <c r="E52" s="376">
        <v>0.56000000000000005</v>
      </c>
      <c r="F52" s="396">
        <f t="shared" si="5"/>
        <v>0</v>
      </c>
      <c r="G52" s="377">
        <f>VLOOKUP(B52,'9.2.9c FHC Control Factors'!$C$9:$J$34,8,FALSE)</f>
        <v>1</v>
      </c>
      <c r="H52" s="377">
        <f t="shared" si="6"/>
        <v>0</v>
      </c>
      <c r="I52" s="377">
        <f t="shared" si="7"/>
        <v>0</v>
      </c>
      <c r="J52" s="377">
        <f t="shared" si="8"/>
        <v>0</v>
      </c>
      <c r="K52" s="378">
        <f t="shared" si="9"/>
        <v>0</v>
      </c>
    </row>
    <row r="53" spans="2:11">
      <c r="B53" s="374" t="s">
        <v>320</v>
      </c>
      <c r="C53" s="379"/>
      <c r="D53" s="376">
        <v>4.1000000000000003E-3</v>
      </c>
      <c r="E53" s="376">
        <v>0.56000000000000005</v>
      </c>
      <c r="F53" s="396">
        <f t="shared" si="5"/>
        <v>0</v>
      </c>
      <c r="G53" s="377">
        <f>VLOOKUP(B53,'9.2.9c FHC Control Factors'!$C$9:$J$34,8,FALSE)</f>
        <v>0.84</v>
      </c>
      <c r="H53" s="377">
        <f t="shared" si="6"/>
        <v>0</v>
      </c>
      <c r="I53" s="377">
        <f t="shared" si="7"/>
        <v>0</v>
      </c>
      <c r="J53" s="377">
        <f t="shared" si="8"/>
        <v>0</v>
      </c>
      <c r="K53" s="378">
        <f t="shared" si="9"/>
        <v>0</v>
      </c>
    </row>
    <row r="54" spans="2:11">
      <c r="B54" s="374" t="s">
        <v>321</v>
      </c>
      <c r="C54" s="379"/>
      <c r="D54" s="376">
        <v>4.1000000000000003E-3</v>
      </c>
      <c r="E54" s="376">
        <v>0.56000000000000005</v>
      </c>
      <c r="F54" s="396">
        <f t="shared" si="5"/>
        <v>0</v>
      </c>
      <c r="G54" s="377">
        <f>VLOOKUP(B54,'9.2.9c FHC Control Factors'!$C$9:$J$34,8,FALSE)</f>
        <v>0.85</v>
      </c>
      <c r="H54" s="377">
        <f t="shared" si="6"/>
        <v>0</v>
      </c>
      <c r="I54" s="377">
        <f t="shared" si="7"/>
        <v>0</v>
      </c>
      <c r="J54" s="377">
        <f t="shared" si="8"/>
        <v>0</v>
      </c>
      <c r="K54" s="378">
        <f t="shared" si="9"/>
        <v>0</v>
      </c>
    </row>
    <row r="55" spans="2:11">
      <c r="B55" s="374" t="s">
        <v>322</v>
      </c>
      <c r="C55" s="379"/>
      <c r="D55" s="376">
        <v>4.1000000000000003E-3</v>
      </c>
      <c r="E55" s="376">
        <v>0.56000000000000005</v>
      </c>
      <c r="F55" s="396">
        <f t="shared" si="5"/>
        <v>0</v>
      </c>
      <c r="G55" s="377">
        <f>VLOOKUP(B55,'9.2.9c FHC Control Factors'!$C$9:$J$34,8,FALSE)</f>
        <v>0.87</v>
      </c>
      <c r="H55" s="377">
        <f t="shared" si="6"/>
        <v>0</v>
      </c>
      <c r="I55" s="377">
        <f t="shared" si="7"/>
        <v>0</v>
      </c>
      <c r="J55" s="377">
        <f t="shared" si="8"/>
        <v>0</v>
      </c>
      <c r="K55" s="378">
        <f t="shared" si="9"/>
        <v>0</v>
      </c>
    </row>
    <row r="56" spans="2:11">
      <c r="B56" s="374" t="s">
        <v>323</v>
      </c>
      <c r="C56" s="379"/>
      <c r="D56" s="376">
        <v>4.1000000000000003E-3</v>
      </c>
      <c r="E56" s="376">
        <v>0.56000000000000005</v>
      </c>
      <c r="F56" s="396">
        <f t="shared" si="5"/>
        <v>0</v>
      </c>
      <c r="G56" s="377">
        <f>VLOOKUP(B56,'9.2.9c FHC Control Factors'!$C$9:$J$34,8,FALSE)</f>
        <v>0.87</v>
      </c>
      <c r="H56" s="377">
        <f t="shared" si="6"/>
        <v>0</v>
      </c>
      <c r="I56" s="377">
        <f t="shared" si="7"/>
        <v>0</v>
      </c>
      <c r="J56" s="377">
        <f t="shared" si="8"/>
        <v>0</v>
      </c>
      <c r="K56" s="378">
        <f t="shared" si="9"/>
        <v>0</v>
      </c>
    </row>
    <row r="57" spans="2:11">
      <c r="B57" s="374" t="s">
        <v>324</v>
      </c>
      <c r="C57" s="379"/>
      <c r="D57" s="376">
        <v>4.1000000000000003E-3</v>
      </c>
      <c r="E57" s="376">
        <v>0.56000000000000005</v>
      </c>
      <c r="F57" s="396">
        <f t="shared" si="5"/>
        <v>0</v>
      </c>
      <c r="G57" s="377">
        <f>VLOOKUP(B57,'9.2.9c FHC Control Factors'!$C$9:$J$34,8,FALSE)</f>
        <v>0.88</v>
      </c>
      <c r="H57" s="377">
        <f t="shared" si="6"/>
        <v>0</v>
      </c>
      <c r="I57" s="377">
        <f t="shared" si="7"/>
        <v>0</v>
      </c>
      <c r="J57" s="377">
        <f t="shared" si="8"/>
        <v>0</v>
      </c>
      <c r="K57" s="378">
        <f t="shared" si="9"/>
        <v>0</v>
      </c>
    </row>
    <row r="58" spans="2:11">
      <c r="B58" s="374" t="s">
        <v>325</v>
      </c>
      <c r="C58" s="379"/>
      <c r="D58" s="376">
        <v>4.1000000000000003E-3</v>
      </c>
      <c r="E58" s="376">
        <v>0.56000000000000005</v>
      </c>
      <c r="F58" s="396">
        <f t="shared" si="5"/>
        <v>0</v>
      </c>
      <c r="G58" s="377">
        <f>VLOOKUP(B58,'9.2.9c FHC Control Factors'!$C$9:$J$34,8,FALSE)</f>
        <v>0.9</v>
      </c>
      <c r="H58" s="377">
        <f t="shared" si="6"/>
        <v>0</v>
      </c>
      <c r="I58" s="377">
        <f t="shared" si="7"/>
        <v>0</v>
      </c>
      <c r="J58" s="377">
        <f t="shared" si="8"/>
        <v>0</v>
      </c>
      <c r="K58" s="378">
        <f t="shared" si="9"/>
        <v>0</v>
      </c>
    </row>
    <row r="59" spans="2:11">
      <c r="B59" s="374" t="s">
        <v>326</v>
      </c>
      <c r="C59" s="379"/>
      <c r="D59" s="381">
        <v>4.1000000000000003E-3</v>
      </c>
      <c r="E59" s="376">
        <v>0.56000000000000005</v>
      </c>
      <c r="F59" s="396">
        <f t="shared" si="5"/>
        <v>0</v>
      </c>
      <c r="G59" s="377">
        <f>VLOOKUP(B59,'9.2.9c FHC Control Factors'!$C$9:$J$34,8,FALSE)</f>
        <v>0.92</v>
      </c>
      <c r="H59" s="377">
        <f t="shared" si="6"/>
        <v>0</v>
      </c>
      <c r="I59" s="377">
        <f t="shared" si="7"/>
        <v>0</v>
      </c>
      <c r="J59" s="377">
        <f t="shared" si="8"/>
        <v>0</v>
      </c>
      <c r="K59" s="378">
        <f t="shared" si="9"/>
        <v>0</v>
      </c>
    </row>
    <row r="60" spans="2:11">
      <c r="B60" s="374" t="s">
        <v>327</v>
      </c>
      <c r="C60" s="375">
        <v>1</v>
      </c>
      <c r="D60" s="381">
        <v>2E-3</v>
      </c>
      <c r="E60" s="376">
        <v>0.56000000000000005</v>
      </c>
      <c r="F60" s="396">
        <f t="shared" si="5"/>
        <v>1.1200000000000001E-3</v>
      </c>
      <c r="G60" s="377">
        <f>VLOOKUP(B60,'9.2.9c FHC Control Factors'!$C$9:$J$34,8,FALSE)</f>
        <v>0.8</v>
      </c>
      <c r="H60" s="377">
        <f t="shared" si="6"/>
        <v>9.3333333333333326E-6</v>
      </c>
      <c r="I60" s="377">
        <f t="shared" si="7"/>
        <v>2.2399999999999997E-4</v>
      </c>
      <c r="J60" s="377">
        <f t="shared" si="8"/>
        <v>1.022E-5</v>
      </c>
      <c r="K60" s="378">
        <f t="shared" si="9"/>
        <v>4.0880000000000002E-5</v>
      </c>
    </row>
    <row r="61" spans="2:11">
      <c r="B61" s="374" t="s">
        <v>328</v>
      </c>
      <c r="C61" s="379"/>
      <c r="D61" s="376">
        <v>2E-3</v>
      </c>
      <c r="E61" s="376">
        <v>0.56000000000000005</v>
      </c>
      <c r="F61" s="396">
        <f t="shared" si="5"/>
        <v>0</v>
      </c>
      <c r="G61" s="377">
        <f>VLOOKUP(B61,'9.2.9c FHC Control Factors'!$C$9:$J$34,8,FALSE)</f>
        <v>0</v>
      </c>
      <c r="H61" s="377">
        <f t="shared" si="6"/>
        <v>0</v>
      </c>
      <c r="I61" s="377">
        <f t="shared" si="7"/>
        <v>0</v>
      </c>
      <c r="J61" s="377">
        <f t="shared" si="8"/>
        <v>0</v>
      </c>
      <c r="K61" s="378">
        <f t="shared" si="9"/>
        <v>0</v>
      </c>
    </row>
    <row r="62" spans="2:11">
      <c r="B62" s="380" t="s">
        <v>329</v>
      </c>
      <c r="C62" s="379"/>
      <c r="D62" s="376">
        <v>2E-3</v>
      </c>
      <c r="E62" s="376">
        <v>0.56000000000000005</v>
      </c>
      <c r="F62" s="396">
        <f t="shared" si="5"/>
        <v>0</v>
      </c>
      <c r="G62" s="377">
        <f>VLOOKUP(B62,'9.2.9c FHC Control Factors'!$C$9:$J$34,8,FALSE)</f>
        <v>0.84</v>
      </c>
      <c r="H62" s="377">
        <f t="shared" si="6"/>
        <v>0</v>
      </c>
      <c r="I62" s="377">
        <f t="shared" si="7"/>
        <v>0</v>
      </c>
      <c r="J62" s="377">
        <f t="shared" si="8"/>
        <v>0</v>
      </c>
      <c r="K62" s="378">
        <f t="shared" si="9"/>
        <v>0</v>
      </c>
    </row>
    <row r="63" spans="2:11">
      <c r="B63" s="380" t="s">
        <v>330</v>
      </c>
      <c r="C63" s="379"/>
      <c r="D63" s="376">
        <v>2E-3</v>
      </c>
      <c r="E63" s="376">
        <v>0.56000000000000005</v>
      </c>
      <c r="F63" s="396">
        <f t="shared" si="5"/>
        <v>0</v>
      </c>
      <c r="G63" s="377">
        <f>VLOOKUP(B63,'9.2.9c FHC Control Factors'!$C$9:$J$34,8,FALSE)</f>
        <v>0.85</v>
      </c>
      <c r="H63" s="377">
        <f t="shared" si="6"/>
        <v>0</v>
      </c>
      <c r="I63" s="377">
        <f t="shared" si="7"/>
        <v>0</v>
      </c>
      <c r="J63" s="377">
        <f t="shared" si="8"/>
        <v>0</v>
      </c>
      <c r="K63" s="378">
        <f t="shared" si="9"/>
        <v>0</v>
      </c>
    </row>
    <row r="64" spans="2:11">
      <c r="B64" s="380" t="s">
        <v>331</v>
      </c>
      <c r="C64" s="379"/>
      <c r="D64" s="376">
        <v>2E-3</v>
      </c>
      <c r="E64" s="376">
        <v>0.56000000000000005</v>
      </c>
      <c r="F64" s="396">
        <f t="shared" si="5"/>
        <v>0</v>
      </c>
      <c r="G64" s="377">
        <f>VLOOKUP(B64,'9.2.9c FHC Control Factors'!$C$9:$J$34,8,FALSE)</f>
        <v>0.87</v>
      </c>
      <c r="H64" s="377">
        <f t="shared" si="6"/>
        <v>0</v>
      </c>
      <c r="I64" s="377">
        <f t="shared" si="7"/>
        <v>0</v>
      </c>
      <c r="J64" s="377">
        <f t="shared" si="8"/>
        <v>0</v>
      </c>
      <c r="K64" s="378">
        <f t="shared" si="9"/>
        <v>0</v>
      </c>
    </row>
    <row r="65" spans="2:11">
      <c r="B65" s="380" t="s">
        <v>332</v>
      </c>
      <c r="C65" s="379"/>
      <c r="D65" s="376">
        <v>2E-3</v>
      </c>
      <c r="E65" s="376">
        <v>0.56000000000000005</v>
      </c>
      <c r="F65" s="396">
        <f t="shared" si="5"/>
        <v>0</v>
      </c>
      <c r="G65" s="377">
        <f>VLOOKUP(B65,'9.2.9c FHC Control Factors'!$C$9:$J$34,8,FALSE)</f>
        <v>0.87</v>
      </c>
      <c r="H65" s="377">
        <f t="shared" si="6"/>
        <v>0</v>
      </c>
      <c r="I65" s="377">
        <f t="shared" si="7"/>
        <v>0</v>
      </c>
      <c r="J65" s="377">
        <f t="shared" si="8"/>
        <v>0</v>
      </c>
      <c r="K65" s="378">
        <f t="shared" si="9"/>
        <v>0</v>
      </c>
    </row>
    <row r="66" spans="2:11">
      <c r="B66" s="380" t="s">
        <v>333</v>
      </c>
      <c r="C66" s="379"/>
      <c r="D66" s="376">
        <v>2E-3</v>
      </c>
      <c r="E66" s="376">
        <v>0.56000000000000005</v>
      </c>
      <c r="F66" s="396">
        <f t="shared" si="5"/>
        <v>0</v>
      </c>
      <c r="G66" s="377">
        <f>VLOOKUP(B66,'9.2.9c FHC Control Factors'!$C$9:$J$34,8,FALSE)</f>
        <v>0.88</v>
      </c>
      <c r="H66" s="377">
        <f t="shared" si="6"/>
        <v>0</v>
      </c>
      <c r="I66" s="377">
        <f t="shared" si="7"/>
        <v>0</v>
      </c>
      <c r="J66" s="377">
        <f t="shared" si="8"/>
        <v>0</v>
      </c>
      <c r="K66" s="378">
        <f t="shared" si="9"/>
        <v>0</v>
      </c>
    </row>
    <row r="67" spans="2:11">
      <c r="B67" s="380" t="s">
        <v>334</v>
      </c>
      <c r="C67" s="375"/>
      <c r="D67" s="376">
        <v>2E-3</v>
      </c>
      <c r="E67" s="376">
        <v>0.56000000000000005</v>
      </c>
      <c r="F67" s="396">
        <f t="shared" si="5"/>
        <v>0</v>
      </c>
      <c r="G67" s="377">
        <f>VLOOKUP(B67,'9.2.9c FHC Control Factors'!$C$9:$J$34,8,FALSE)</f>
        <v>0.9</v>
      </c>
      <c r="H67" s="377">
        <f t="shared" si="6"/>
        <v>0</v>
      </c>
      <c r="I67" s="377">
        <f t="shared" si="7"/>
        <v>0</v>
      </c>
      <c r="J67" s="377">
        <f t="shared" si="8"/>
        <v>0</v>
      </c>
      <c r="K67" s="378">
        <f t="shared" si="9"/>
        <v>0</v>
      </c>
    </row>
    <row r="68" spans="2:11">
      <c r="B68" s="380" t="s">
        <v>335</v>
      </c>
      <c r="C68" s="379"/>
      <c r="D68" s="376">
        <v>2E-3</v>
      </c>
      <c r="E68" s="376">
        <v>0.56000000000000005</v>
      </c>
      <c r="F68" s="396">
        <f t="shared" si="5"/>
        <v>0</v>
      </c>
      <c r="G68" s="377">
        <f>VLOOKUP(B68,'9.2.9c FHC Control Factors'!$C$9:$J$34,8,FALSE)</f>
        <v>0.92</v>
      </c>
      <c r="H68" s="377">
        <f t="shared" si="6"/>
        <v>0</v>
      </c>
      <c r="I68" s="377">
        <f t="shared" si="7"/>
        <v>0</v>
      </c>
      <c r="J68" s="377">
        <f t="shared" si="8"/>
        <v>0</v>
      </c>
      <c r="K68" s="378">
        <f t="shared" si="9"/>
        <v>0</v>
      </c>
    </row>
    <row r="69" spans="2:11">
      <c r="B69" s="372" t="s">
        <v>338</v>
      </c>
      <c r="C69" s="375"/>
      <c r="D69" s="376">
        <v>0.26700000000000002</v>
      </c>
      <c r="E69" s="376">
        <v>0.56000000000000005</v>
      </c>
      <c r="F69" s="396">
        <f t="shared" si="5"/>
        <v>0</v>
      </c>
      <c r="G69" s="377">
        <f>VLOOKUP(B69,'9.2.9c FHC Control Factors'!$C$9:$J$34,8,FALSE)</f>
        <v>0.8</v>
      </c>
      <c r="H69" s="377">
        <f t="shared" si="6"/>
        <v>0</v>
      </c>
      <c r="I69" s="377">
        <f t="shared" si="7"/>
        <v>0</v>
      </c>
      <c r="J69" s="377">
        <f t="shared" si="8"/>
        <v>0</v>
      </c>
      <c r="K69" s="378">
        <f t="shared" si="9"/>
        <v>0</v>
      </c>
    </row>
    <row r="70" spans="2:11">
      <c r="B70" s="372" t="s">
        <v>339</v>
      </c>
      <c r="C70" s="379"/>
      <c r="D70" s="376">
        <v>0.26700000000000002</v>
      </c>
      <c r="E70" s="376">
        <v>0.56000000000000005</v>
      </c>
      <c r="F70" s="396">
        <f t="shared" si="5"/>
        <v>0</v>
      </c>
      <c r="G70" s="377">
        <f>VLOOKUP(B70,'9.2.9c FHC Control Factors'!$C$9:$J$34,8,FALSE)</f>
        <v>1</v>
      </c>
      <c r="H70" s="377">
        <f t="shared" si="6"/>
        <v>0</v>
      </c>
      <c r="I70" s="377">
        <f t="shared" si="7"/>
        <v>0</v>
      </c>
      <c r="J70" s="377">
        <f t="shared" si="8"/>
        <v>0</v>
      </c>
      <c r="K70" s="378">
        <f t="shared" si="9"/>
        <v>0</v>
      </c>
    </row>
    <row r="71" spans="2:11">
      <c r="B71" s="372" t="s">
        <v>340</v>
      </c>
      <c r="C71" s="379">
        <v>1</v>
      </c>
      <c r="D71" s="376">
        <v>3.8999999999999998E-3</v>
      </c>
      <c r="E71" s="376">
        <v>0.56000000000000005</v>
      </c>
      <c r="F71" s="396">
        <f t="shared" si="5"/>
        <v>2.1840000000000002E-3</v>
      </c>
      <c r="G71" s="377">
        <f>VLOOKUP(B71,'9.2.9c FHC Control Factors'!$C$9:$J$34,8,FALSE)</f>
        <v>0.8</v>
      </c>
      <c r="H71" s="377">
        <f t="shared" si="6"/>
        <v>1.8199999999999999E-5</v>
      </c>
      <c r="I71" s="377">
        <f t="shared" si="7"/>
        <v>4.3679999999999994E-4</v>
      </c>
      <c r="J71" s="377">
        <f t="shared" si="8"/>
        <v>1.9928999999999998E-5</v>
      </c>
      <c r="K71" s="378">
        <f t="shared" si="9"/>
        <v>7.9715999999999994E-5</v>
      </c>
    </row>
    <row r="72" spans="2:11">
      <c r="B72" s="384" t="s">
        <v>341</v>
      </c>
      <c r="C72" s="385"/>
      <c r="D72" s="386">
        <v>3.8999999999999998E-3</v>
      </c>
      <c r="E72" s="386">
        <v>0.56000000000000005</v>
      </c>
      <c r="F72" s="402">
        <f t="shared" si="5"/>
        <v>0</v>
      </c>
      <c r="G72" s="387">
        <f>VLOOKUP(B72,'9.2.9c FHC Control Factors'!$C$9:$J$34,8,FALSE)</f>
        <v>1</v>
      </c>
      <c r="H72" s="387">
        <f>(I72/24)</f>
        <v>0</v>
      </c>
      <c r="I72" s="387">
        <f>(F72*(1-G72))</f>
        <v>0</v>
      </c>
      <c r="J72" s="387">
        <f>H72*2190/2000</f>
        <v>0</v>
      </c>
      <c r="K72" s="388">
        <f>(H72*8760/2000)</f>
        <v>0</v>
      </c>
    </row>
    <row r="73" spans="2:11">
      <c r="B73" s="372" t="s">
        <v>342</v>
      </c>
      <c r="C73" s="395">
        <f>SUM(C49:C72)</f>
        <v>2</v>
      </c>
      <c r="D73" s="376"/>
      <c r="E73" s="376"/>
      <c r="F73" s="396">
        <f>SUM(F49:F72)</f>
        <v>3.3040000000000005E-3</v>
      </c>
      <c r="G73" s="396"/>
      <c r="H73" s="383">
        <f>SUM(H49:H72)</f>
        <v>2.7533333333333329E-5</v>
      </c>
      <c r="I73" s="383">
        <f>SUM(I49:I72)</f>
        <v>6.6079999999999991E-4</v>
      </c>
      <c r="J73" s="383">
        <f>SUM(J49:J72)</f>
        <v>3.0148999999999999E-5</v>
      </c>
      <c r="K73" s="403">
        <f>SUM(K49:K72)</f>
        <v>1.20596E-4</v>
      </c>
    </row>
    <row r="74" spans="2:11">
      <c r="B74" s="372"/>
      <c r="C74" s="395"/>
      <c r="D74" s="376"/>
      <c r="E74" s="376"/>
      <c r="F74" s="383"/>
      <c r="G74" s="404"/>
      <c r="H74" s="383"/>
      <c r="I74" s="383"/>
      <c r="J74" s="383"/>
      <c r="K74" s="405"/>
    </row>
    <row r="75" spans="2:11">
      <c r="B75" s="373" t="s">
        <v>343</v>
      </c>
      <c r="C75" s="406">
        <f>SUM(C46+C73)</f>
        <v>19</v>
      </c>
      <c r="D75" s="376"/>
      <c r="E75" s="376"/>
      <c r="F75" s="407">
        <f>SUM(F46+F73)</f>
        <v>0.51170399999999994</v>
      </c>
      <c r="G75" s="404"/>
      <c r="H75" s="408">
        <f>SUM(H46+H73)</f>
        <v>4.2641999999999992E-3</v>
      </c>
      <c r="I75" s="408">
        <f>I46+I73</f>
        <v>0.10234079999999998</v>
      </c>
      <c r="J75" s="408">
        <f>SUM(J46+J73)</f>
        <v>4.6692989999999992E-3</v>
      </c>
      <c r="K75" s="545">
        <f>SUM(K46+K73)</f>
        <v>1.8677195999999997E-2</v>
      </c>
    </row>
    <row r="76" spans="2:11" ht="13.5" thickBot="1">
      <c r="B76" s="389"/>
      <c r="C76" s="391"/>
      <c r="D76" s="409"/>
      <c r="E76" s="409"/>
      <c r="F76" s="410"/>
      <c r="G76" s="410"/>
      <c r="H76" s="410"/>
      <c r="I76" s="410"/>
      <c r="J76" s="410"/>
      <c r="K76" s="411"/>
    </row>
    <row r="77" spans="2:11" ht="11.25" customHeight="1">
      <c r="B77" s="412"/>
      <c r="C77" s="342"/>
      <c r="D77" s="342"/>
      <c r="E77" s="342"/>
      <c r="F77" s="342"/>
      <c r="G77" s="342"/>
      <c r="H77" s="342"/>
      <c r="I77" s="342"/>
      <c r="J77" s="342"/>
      <c r="K77" s="413"/>
    </row>
    <row r="78" spans="2:11">
      <c r="B78" s="414" t="s">
        <v>344</v>
      </c>
      <c r="C78" s="342"/>
      <c r="D78" s="342"/>
      <c r="E78" s="342"/>
      <c r="F78" s="342"/>
      <c r="G78" s="342"/>
      <c r="H78" s="342"/>
      <c r="I78" s="342"/>
      <c r="J78" s="342"/>
      <c r="K78" s="413"/>
    </row>
    <row r="79" spans="2:11">
      <c r="B79" s="415" t="s">
        <v>345</v>
      </c>
      <c r="C79" s="342"/>
      <c r="D79" s="342"/>
      <c r="E79" s="342"/>
      <c r="F79" s="342"/>
      <c r="G79" s="342"/>
      <c r="H79" s="342"/>
      <c r="I79" s="342"/>
      <c r="J79" s="342"/>
      <c r="K79" s="413"/>
    </row>
    <row r="80" spans="2:11">
      <c r="B80" s="412" t="s">
        <v>346</v>
      </c>
      <c r="C80" s="342"/>
      <c r="D80" s="342"/>
      <c r="E80" s="342"/>
      <c r="F80" s="342"/>
      <c r="G80" s="342"/>
      <c r="H80" s="342"/>
      <c r="I80" s="342"/>
      <c r="J80" s="342"/>
      <c r="K80" s="413"/>
    </row>
    <row r="81" spans="2:11">
      <c r="B81" s="412" t="s">
        <v>347</v>
      </c>
      <c r="C81" s="342"/>
      <c r="D81" s="342"/>
      <c r="E81" s="342"/>
      <c r="F81" s="342"/>
      <c r="G81" s="342"/>
      <c r="H81" s="342"/>
      <c r="I81" s="342"/>
      <c r="J81" s="342"/>
      <c r="K81" s="413"/>
    </row>
    <row r="82" spans="2:11">
      <c r="B82" s="414" t="s">
        <v>410</v>
      </c>
      <c r="C82" s="359"/>
      <c r="D82" s="359"/>
      <c r="E82" s="359"/>
      <c r="F82" s="359"/>
      <c r="G82" s="359"/>
      <c r="H82" s="359"/>
      <c r="I82" s="359"/>
      <c r="J82" s="359"/>
      <c r="K82" s="416"/>
    </row>
    <row r="83" spans="2:11">
      <c r="B83" s="342"/>
      <c r="C83" s="342"/>
      <c r="D83" s="342"/>
      <c r="E83" s="342"/>
      <c r="F83" s="342"/>
      <c r="G83" s="342"/>
      <c r="H83" s="342"/>
      <c r="I83" s="342"/>
      <c r="J83" s="342"/>
      <c r="K83" s="342"/>
    </row>
    <row r="84" spans="2:11">
      <c r="B84" s="417"/>
      <c r="C84" s="342"/>
      <c r="D84" s="342"/>
      <c r="E84" s="342"/>
      <c r="F84" s="342"/>
      <c r="G84" s="342"/>
      <c r="H84" s="342"/>
      <c r="I84" s="342"/>
      <c r="J84" s="342"/>
      <c r="K84" s="342"/>
    </row>
  </sheetData>
  <mergeCells count="2">
    <mergeCell ref="B4:K4"/>
    <mergeCell ref="C12:K13"/>
  </mergeCells>
  <printOptions horizontalCentered="1" verticalCentered="1" gridLinesSet="0"/>
  <pageMargins left="1" right="1" top="1" bottom="1" header="1" footer="0.71"/>
  <pageSetup scale="66" fitToHeight="2" orientation="landscape" r:id="rId1"/>
  <headerFooter alignWithMargins="0">
    <oddFooter>&amp;C9.1.9a Page &amp;P of &amp;N</oddFooter>
  </headerFooter>
  <rowBreaks count="1" manualBreakCount="1">
    <brk id="4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5"/>
  <sheetViews>
    <sheetView showGridLines="0" workbookViewId="0">
      <selection activeCell="N43" sqref="N43"/>
    </sheetView>
  </sheetViews>
  <sheetFormatPr defaultColWidth="9.140625" defaultRowHeight="12.75"/>
  <cols>
    <col min="1" max="1" width="4.7109375" style="418" customWidth="1"/>
    <col min="2" max="2" width="6.7109375" style="418" customWidth="1"/>
    <col min="3" max="3" width="5.140625" style="418" customWidth="1"/>
    <col min="4" max="4" width="18.42578125" style="418" customWidth="1"/>
    <col min="5" max="5" width="14.140625" style="418" customWidth="1"/>
    <col min="6" max="6" width="9.140625" style="418" customWidth="1"/>
    <col min="7" max="7" width="14.140625" style="418" customWidth="1"/>
    <col min="8" max="8" width="9.140625" style="418" customWidth="1"/>
    <col min="9" max="9" width="14.140625" style="418" customWidth="1"/>
    <col min="10" max="10" width="9.140625" style="418" customWidth="1"/>
    <col min="11" max="11" width="14.140625" style="418" customWidth="1"/>
    <col min="12" max="12" width="9.140625" style="418" customWidth="1"/>
    <col min="13" max="13" width="4" style="418" customWidth="1"/>
    <col min="14" max="256" width="9.140625" style="418"/>
    <col min="257" max="257" width="4.7109375" style="418" customWidth="1"/>
    <col min="258" max="258" width="6.7109375" style="418" customWidth="1"/>
    <col min="259" max="259" width="5.140625" style="418" customWidth="1"/>
    <col min="260" max="260" width="18.42578125" style="418" customWidth="1"/>
    <col min="261" max="261" width="14.140625" style="418" customWidth="1"/>
    <col min="262" max="262" width="9.140625" style="418" customWidth="1"/>
    <col min="263" max="263" width="14.140625" style="418" customWidth="1"/>
    <col min="264" max="264" width="9.140625" style="418" customWidth="1"/>
    <col min="265" max="265" width="14.140625" style="418" customWidth="1"/>
    <col min="266" max="266" width="9.140625" style="418" customWidth="1"/>
    <col min="267" max="267" width="14.140625" style="418" customWidth="1"/>
    <col min="268" max="268" width="9.140625" style="418" customWidth="1"/>
    <col min="269" max="269" width="4" style="418" customWidth="1"/>
    <col min="270" max="512" width="9.140625" style="418"/>
    <col min="513" max="513" width="4.7109375" style="418" customWidth="1"/>
    <col min="514" max="514" width="6.7109375" style="418" customWidth="1"/>
    <col min="515" max="515" width="5.140625" style="418" customWidth="1"/>
    <col min="516" max="516" width="18.42578125" style="418" customWidth="1"/>
    <col min="517" max="517" width="14.140625" style="418" customWidth="1"/>
    <col min="518" max="518" width="9.140625" style="418" customWidth="1"/>
    <col min="519" max="519" width="14.140625" style="418" customWidth="1"/>
    <col min="520" max="520" width="9.140625" style="418" customWidth="1"/>
    <col min="521" max="521" width="14.140625" style="418" customWidth="1"/>
    <col min="522" max="522" width="9.140625" style="418" customWidth="1"/>
    <col min="523" max="523" width="14.140625" style="418" customWidth="1"/>
    <col min="524" max="524" width="9.140625" style="418" customWidth="1"/>
    <col min="525" max="525" width="4" style="418" customWidth="1"/>
    <col min="526" max="768" width="9.140625" style="418"/>
    <col min="769" max="769" width="4.7109375" style="418" customWidth="1"/>
    <col min="770" max="770" width="6.7109375" style="418" customWidth="1"/>
    <col min="771" max="771" width="5.140625" style="418" customWidth="1"/>
    <col min="772" max="772" width="18.42578125" style="418" customWidth="1"/>
    <col min="773" max="773" width="14.140625" style="418" customWidth="1"/>
    <col min="774" max="774" width="9.140625" style="418" customWidth="1"/>
    <col min="775" max="775" width="14.140625" style="418" customWidth="1"/>
    <col min="776" max="776" width="9.140625" style="418" customWidth="1"/>
    <col min="777" max="777" width="14.140625" style="418" customWidth="1"/>
    <col min="778" max="778" width="9.140625" style="418" customWidth="1"/>
    <col min="779" max="779" width="14.140625" style="418" customWidth="1"/>
    <col min="780" max="780" width="9.140625" style="418" customWidth="1"/>
    <col min="781" max="781" width="4" style="418" customWidth="1"/>
    <col min="782" max="1024" width="9.140625" style="418"/>
    <col min="1025" max="1025" width="4.7109375" style="418" customWidth="1"/>
    <col min="1026" max="1026" width="6.7109375" style="418" customWidth="1"/>
    <col min="1027" max="1027" width="5.140625" style="418" customWidth="1"/>
    <col min="1028" max="1028" width="18.42578125" style="418" customWidth="1"/>
    <col min="1029" max="1029" width="14.140625" style="418" customWidth="1"/>
    <col min="1030" max="1030" width="9.140625" style="418" customWidth="1"/>
    <col min="1031" max="1031" width="14.140625" style="418" customWidth="1"/>
    <col min="1032" max="1032" width="9.140625" style="418" customWidth="1"/>
    <col min="1033" max="1033" width="14.140625" style="418" customWidth="1"/>
    <col min="1034" max="1034" width="9.140625" style="418" customWidth="1"/>
    <col min="1035" max="1035" width="14.140625" style="418" customWidth="1"/>
    <col min="1036" max="1036" width="9.140625" style="418" customWidth="1"/>
    <col min="1037" max="1037" width="4" style="418" customWidth="1"/>
    <col min="1038" max="1280" width="9.140625" style="418"/>
    <col min="1281" max="1281" width="4.7109375" style="418" customWidth="1"/>
    <col min="1282" max="1282" width="6.7109375" style="418" customWidth="1"/>
    <col min="1283" max="1283" width="5.140625" style="418" customWidth="1"/>
    <col min="1284" max="1284" width="18.42578125" style="418" customWidth="1"/>
    <col min="1285" max="1285" width="14.140625" style="418" customWidth="1"/>
    <col min="1286" max="1286" width="9.140625" style="418" customWidth="1"/>
    <col min="1287" max="1287" width="14.140625" style="418" customWidth="1"/>
    <col min="1288" max="1288" width="9.140625" style="418" customWidth="1"/>
    <col min="1289" max="1289" width="14.140625" style="418" customWidth="1"/>
    <col min="1290" max="1290" width="9.140625" style="418" customWidth="1"/>
    <col min="1291" max="1291" width="14.140625" style="418" customWidth="1"/>
    <col min="1292" max="1292" width="9.140625" style="418" customWidth="1"/>
    <col min="1293" max="1293" width="4" style="418" customWidth="1"/>
    <col min="1294" max="1536" width="9.140625" style="418"/>
    <col min="1537" max="1537" width="4.7109375" style="418" customWidth="1"/>
    <col min="1538" max="1538" width="6.7109375" style="418" customWidth="1"/>
    <col min="1539" max="1539" width="5.140625" style="418" customWidth="1"/>
    <col min="1540" max="1540" width="18.42578125" style="418" customWidth="1"/>
    <col min="1541" max="1541" width="14.140625" style="418" customWidth="1"/>
    <col min="1542" max="1542" width="9.140625" style="418" customWidth="1"/>
    <col min="1543" max="1543" width="14.140625" style="418" customWidth="1"/>
    <col min="1544" max="1544" width="9.140625" style="418" customWidth="1"/>
    <col min="1545" max="1545" width="14.140625" style="418" customWidth="1"/>
    <col min="1546" max="1546" width="9.140625" style="418" customWidth="1"/>
    <col min="1547" max="1547" width="14.140625" style="418" customWidth="1"/>
    <col min="1548" max="1548" width="9.140625" style="418" customWidth="1"/>
    <col min="1549" max="1549" width="4" style="418" customWidth="1"/>
    <col min="1550" max="1792" width="9.140625" style="418"/>
    <col min="1793" max="1793" width="4.7109375" style="418" customWidth="1"/>
    <col min="1794" max="1794" width="6.7109375" style="418" customWidth="1"/>
    <col min="1795" max="1795" width="5.140625" style="418" customWidth="1"/>
    <col min="1796" max="1796" width="18.42578125" style="418" customWidth="1"/>
    <col min="1797" max="1797" width="14.140625" style="418" customWidth="1"/>
    <col min="1798" max="1798" width="9.140625" style="418" customWidth="1"/>
    <col min="1799" max="1799" width="14.140625" style="418" customWidth="1"/>
    <col min="1800" max="1800" width="9.140625" style="418" customWidth="1"/>
    <col min="1801" max="1801" width="14.140625" style="418" customWidth="1"/>
    <col min="1802" max="1802" width="9.140625" style="418" customWidth="1"/>
    <col min="1803" max="1803" width="14.140625" style="418" customWidth="1"/>
    <col min="1804" max="1804" width="9.140625" style="418" customWidth="1"/>
    <col min="1805" max="1805" width="4" style="418" customWidth="1"/>
    <col min="1806" max="2048" width="9.140625" style="418"/>
    <col min="2049" max="2049" width="4.7109375" style="418" customWidth="1"/>
    <col min="2050" max="2050" width="6.7109375" style="418" customWidth="1"/>
    <col min="2051" max="2051" width="5.140625" style="418" customWidth="1"/>
    <col min="2052" max="2052" width="18.42578125" style="418" customWidth="1"/>
    <col min="2053" max="2053" width="14.140625" style="418" customWidth="1"/>
    <col min="2054" max="2054" width="9.140625" style="418" customWidth="1"/>
    <col min="2055" max="2055" width="14.140625" style="418" customWidth="1"/>
    <col min="2056" max="2056" width="9.140625" style="418" customWidth="1"/>
    <col min="2057" max="2057" width="14.140625" style="418" customWidth="1"/>
    <col min="2058" max="2058" width="9.140625" style="418" customWidth="1"/>
    <col min="2059" max="2059" width="14.140625" style="418" customWidth="1"/>
    <col min="2060" max="2060" width="9.140625" style="418" customWidth="1"/>
    <col min="2061" max="2061" width="4" style="418" customWidth="1"/>
    <col min="2062" max="2304" width="9.140625" style="418"/>
    <col min="2305" max="2305" width="4.7109375" style="418" customWidth="1"/>
    <col min="2306" max="2306" width="6.7109375" style="418" customWidth="1"/>
    <col min="2307" max="2307" width="5.140625" style="418" customWidth="1"/>
    <col min="2308" max="2308" width="18.42578125" style="418" customWidth="1"/>
    <col min="2309" max="2309" width="14.140625" style="418" customWidth="1"/>
    <col min="2310" max="2310" width="9.140625" style="418" customWidth="1"/>
    <col min="2311" max="2311" width="14.140625" style="418" customWidth="1"/>
    <col min="2312" max="2312" width="9.140625" style="418" customWidth="1"/>
    <col min="2313" max="2313" width="14.140625" style="418" customWidth="1"/>
    <col min="2314" max="2314" width="9.140625" style="418" customWidth="1"/>
    <col min="2315" max="2315" width="14.140625" style="418" customWidth="1"/>
    <col min="2316" max="2316" width="9.140625" style="418" customWidth="1"/>
    <col min="2317" max="2317" width="4" style="418" customWidth="1"/>
    <col min="2318" max="2560" width="9.140625" style="418"/>
    <col min="2561" max="2561" width="4.7109375" style="418" customWidth="1"/>
    <col min="2562" max="2562" width="6.7109375" style="418" customWidth="1"/>
    <col min="2563" max="2563" width="5.140625" style="418" customWidth="1"/>
    <col min="2564" max="2564" width="18.42578125" style="418" customWidth="1"/>
    <col min="2565" max="2565" width="14.140625" style="418" customWidth="1"/>
    <col min="2566" max="2566" width="9.140625" style="418" customWidth="1"/>
    <col min="2567" max="2567" width="14.140625" style="418" customWidth="1"/>
    <col min="2568" max="2568" width="9.140625" style="418" customWidth="1"/>
    <col min="2569" max="2569" width="14.140625" style="418" customWidth="1"/>
    <col min="2570" max="2570" width="9.140625" style="418" customWidth="1"/>
    <col min="2571" max="2571" width="14.140625" style="418" customWidth="1"/>
    <col min="2572" max="2572" width="9.140625" style="418" customWidth="1"/>
    <col min="2573" max="2573" width="4" style="418" customWidth="1"/>
    <col min="2574" max="2816" width="9.140625" style="418"/>
    <col min="2817" max="2817" width="4.7109375" style="418" customWidth="1"/>
    <col min="2818" max="2818" width="6.7109375" style="418" customWidth="1"/>
    <col min="2819" max="2819" width="5.140625" style="418" customWidth="1"/>
    <col min="2820" max="2820" width="18.42578125" style="418" customWidth="1"/>
    <col min="2821" max="2821" width="14.140625" style="418" customWidth="1"/>
    <col min="2822" max="2822" width="9.140625" style="418" customWidth="1"/>
    <col min="2823" max="2823" width="14.140625" style="418" customWidth="1"/>
    <col min="2824" max="2824" width="9.140625" style="418" customWidth="1"/>
    <col min="2825" max="2825" width="14.140625" style="418" customWidth="1"/>
    <col min="2826" max="2826" width="9.140625" style="418" customWidth="1"/>
    <col min="2827" max="2827" width="14.140625" style="418" customWidth="1"/>
    <col min="2828" max="2828" width="9.140625" style="418" customWidth="1"/>
    <col min="2829" max="2829" width="4" style="418" customWidth="1"/>
    <col min="2830" max="3072" width="9.140625" style="418"/>
    <col min="3073" max="3073" width="4.7109375" style="418" customWidth="1"/>
    <col min="3074" max="3074" width="6.7109375" style="418" customWidth="1"/>
    <col min="3075" max="3075" width="5.140625" style="418" customWidth="1"/>
    <col min="3076" max="3076" width="18.42578125" style="418" customWidth="1"/>
    <col min="3077" max="3077" width="14.140625" style="418" customWidth="1"/>
    <col min="3078" max="3078" width="9.140625" style="418" customWidth="1"/>
    <col min="3079" max="3079" width="14.140625" style="418" customWidth="1"/>
    <col min="3080" max="3080" width="9.140625" style="418" customWidth="1"/>
    <col min="3081" max="3081" width="14.140625" style="418" customWidth="1"/>
    <col min="3082" max="3082" width="9.140625" style="418" customWidth="1"/>
    <col min="3083" max="3083" width="14.140625" style="418" customWidth="1"/>
    <col min="3084" max="3084" width="9.140625" style="418" customWidth="1"/>
    <col min="3085" max="3085" width="4" style="418" customWidth="1"/>
    <col min="3086" max="3328" width="9.140625" style="418"/>
    <col min="3329" max="3329" width="4.7109375" style="418" customWidth="1"/>
    <col min="3330" max="3330" width="6.7109375" style="418" customWidth="1"/>
    <col min="3331" max="3331" width="5.140625" style="418" customWidth="1"/>
    <col min="3332" max="3332" width="18.42578125" style="418" customWidth="1"/>
    <col min="3333" max="3333" width="14.140625" style="418" customWidth="1"/>
    <col min="3334" max="3334" width="9.140625" style="418" customWidth="1"/>
    <col min="3335" max="3335" width="14.140625" style="418" customWidth="1"/>
    <col min="3336" max="3336" width="9.140625" style="418" customWidth="1"/>
    <col min="3337" max="3337" width="14.140625" style="418" customWidth="1"/>
    <col min="3338" max="3338" width="9.140625" style="418" customWidth="1"/>
    <col min="3339" max="3339" width="14.140625" style="418" customWidth="1"/>
    <col min="3340" max="3340" width="9.140625" style="418" customWidth="1"/>
    <col min="3341" max="3341" width="4" style="418" customWidth="1"/>
    <col min="3342" max="3584" width="9.140625" style="418"/>
    <col min="3585" max="3585" width="4.7109375" style="418" customWidth="1"/>
    <col min="3586" max="3586" width="6.7109375" style="418" customWidth="1"/>
    <col min="3587" max="3587" width="5.140625" style="418" customWidth="1"/>
    <col min="3588" max="3588" width="18.42578125" style="418" customWidth="1"/>
    <col min="3589" max="3589" width="14.140625" style="418" customWidth="1"/>
    <col min="3590" max="3590" width="9.140625" style="418" customWidth="1"/>
    <col min="3591" max="3591" width="14.140625" style="418" customWidth="1"/>
    <col min="3592" max="3592" width="9.140625" style="418" customWidth="1"/>
    <col min="3593" max="3593" width="14.140625" style="418" customWidth="1"/>
    <col min="3594" max="3594" width="9.140625" style="418" customWidth="1"/>
    <col min="3595" max="3595" width="14.140625" style="418" customWidth="1"/>
    <col min="3596" max="3596" width="9.140625" style="418" customWidth="1"/>
    <col min="3597" max="3597" width="4" style="418" customWidth="1"/>
    <col min="3598" max="3840" width="9.140625" style="418"/>
    <col min="3841" max="3841" width="4.7109375" style="418" customWidth="1"/>
    <col min="3842" max="3842" width="6.7109375" style="418" customWidth="1"/>
    <col min="3843" max="3843" width="5.140625" style="418" customWidth="1"/>
    <col min="3844" max="3844" width="18.42578125" style="418" customWidth="1"/>
    <col min="3845" max="3845" width="14.140625" style="418" customWidth="1"/>
    <col min="3846" max="3846" width="9.140625" style="418" customWidth="1"/>
    <col min="3847" max="3847" width="14.140625" style="418" customWidth="1"/>
    <col min="3848" max="3848" width="9.140625" style="418" customWidth="1"/>
    <col min="3849" max="3849" width="14.140625" style="418" customWidth="1"/>
    <col min="3850" max="3850" width="9.140625" style="418" customWidth="1"/>
    <col min="3851" max="3851" width="14.140625" style="418" customWidth="1"/>
    <col min="3852" max="3852" width="9.140625" style="418" customWidth="1"/>
    <col min="3853" max="3853" width="4" style="418" customWidth="1"/>
    <col min="3854" max="4096" width="9.140625" style="418"/>
    <col min="4097" max="4097" width="4.7109375" style="418" customWidth="1"/>
    <col min="4098" max="4098" width="6.7109375" style="418" customWidth="1"/>
    <col min="4099" max="4099" width="5.140625" style="418" customWidth="1"/>
    <col min="4100" max="4100" width="18.42578125" style="418" customWidth="1"/>
    <col min="4101" max="4101" width="14.140625" style="418" customWidth="1"/>
    <col min="4102" max="4102" width="9.140625" style="418" customWidth="1"/>
    <col min="4103" max="4103" width="14.140625" style="418" customWidth="1"/>
    <col min="4104" max="4104" width="9.140625" style="418" customWidth="1"/>
    <col min="4105" max="4105" width="14.140625" style="418" customWidth="1"/>
    <col min="4106" max="4106" width="9.140625" style="418" customWidth="1"/>
    <col min="4107" max="4107" width="14.140625" style="418" customWidth="1"/>
    <col min="4108" max="4108" width="9.140625" style="418" customWidth="1"/>
    <col min="4109" max="4109" width="4" style="418" customWidth="1"/>
    <col min="4110" max="4352" width="9.140625" style="418"/>
    <col min="4353" max="4353" width="4.7109375" style="418" customWidth="1"/>
    <col min="4354" max="4354" width="6.7109375" style="418" customWidth="1"/>
    <col min="4355" max="4355" width="5.140625" style="418" customWidth="1"/>
    <col min="4356" max="4356" width="18.42578125" style="418" customWidth="1"/>
    <col min="4357" max="4357" width="14.140625" style="418" customWidth="1"/>
    <col min="4358" max="4358" width="9.140625" style="418" customWidth="1"/>
    <col min="4359" max="4359" width="14.140625" style="418" customWidth="1"/>
    <col min="4360" max="4360" width="9.140625" style="418" customWidth="1"/>
    <col min="4361" max="4361" width="14.140625" style="418" customWidth="1"/>
    <col min="4362" max="4362" width="9.140625" style="418" customWidth="1"/>
    <col min="4363" max="4363" width="14.140625" style="418" customWidth="1"/>
    <col min="4364" max="4364" width="9.140625" style="418" customWidth="1"/>
    <col min="4365" max="4365" width="4" style="418" customWidth="1"/>
    <col min="4366" max="4608" width="9.140625" style="418"/>
    <col min="4609" max="4609" width="4.7109375" style="418" customWidth="1"/>
    <col min="4610" max="4610" width="6.7109375" style="418" customWidth="1"/>
    <col min="4611" max="4611" width="5.140625" style="418" customWidth="1"/>
    <col min="4612" max="4612" width="18.42578125" style="418" customWidth="1"/>
    <col min="4613" max="4613" width="14.140625" style="418" customWidth="1"/>
    <col min="4614" max="4614" width="9.140625" style="418" customWidth="1"/>
    <col min="4615" max="4615" width="14.140625" style="418" customWidth="1"/>
    <col min="4616" max="4616" width="9.140625" style="418" customWidth="1"/>
    <col min="4617" max="4617" width="14.140625" style="418" customWidth="1"/>
    <col min="4618" max="4618" width="9.140625" style="418" customWidth="1"/>
    <col min="4619" max="4619" width="14.140625" style="418" customWidth="1"/>
    <col min="4620" max="4620" width="9.140625" style="418" customWidth="1"/>
    <col min="4621" max="4621" width="4" style="418" customWidth="1"/>
    <col min="4622" max="4864" width="9.140625" style="418"/>
    <col min="4865" max="4865" width="4.7109375" style="418" customWidth="1"/>
    <col min="4866" max="4866" width="6.7109375" style="418" customWidth="1"/>
    <col min="4867" max="4867" width="5.140625" style="418" customWidth="1"/>
    <col min="4868" max="4868" width="18.42578125" style="418" customWidth="1"/>
    <col min="4869" max="4869" width="14.140625" style="418" customWidth="1"/>
    <col min="4870" max="4870" width="9.140625" style="418" customWidth="1"/>
    <col min="4871" max="4871" width="14.140625" style="418" customWidth="1"/>
    <col min="4872" max="4872" width="9.140625" style="418" customWidth="1"/>
    <col min="4873" max="4873" width="14.140625" style="418" customWidth="1"/>
    <col min="4874" max="4874" width="9.140625" style="418" customWidth="1"/>
    <col min="4875" max="4875" width="14.140625" style="418" customWidth="1"/>
    <col min="4876" max="4876" width="9.140625" style="418" customWidth="1"/>
    <col min="4877" max="4877" width="4" style="418" customWidth="1"/>
    <col min="4878" max="5120" width="9.140625" style="418"/>
    <col min="5121" max="5121" width="4.7109375" style="418" customWidth="1"/>
    <col min="5122" max="5122" width="6.7109375" style="418" customWidth="1"/>
    <col min="5123" max="5123" width="5.140625" style="418" customWidth="1"/>
    <col min="5124" max="5124" width="18.42578125" style="418" customWidth="1"/>
    <col min="5125" max="5125" width="14.140625" style="418" customWidth="1"/>
    <col min="5126" max="5126" width="9.140625" style="418" customWidth="1"/>
    <col min="5127" max="5127" width="14.140625" style="418" customWidth="1"/>
    <col min="5128" max="5128" width="9.140625" style="418" customWidth="1"/>
    <col min="5129" max="5129" width="14.140625" style="418" customWidth="1"/>
    <col min="5130" max="5130" width="9.140625" style="418" customWidth="1"/>
    <col min="5131" max="5131" width="14.140625" style="418" customWidth="1"/>
    <col min="5132" max="5132" width="9.140625" style="418" customWidth="1"/>
    <col min="5133" max="5133" width="4" style="418" customWidth="1"/>
    <col min="5134" max="5376" width="9.140625" style="418"/>
    <col min="5377" max="5377" width="4.7109375" style="418" customWidth="1"/>
    <col min="5378" max="5378" width="6.7109375" style="418" customWidth="1"/>
    <col min="5379" max="5379" width="5.140625" style="418" customWidth="1"/>
    <col min="5380" max="5380" width="18.42578125" style="418" customWidth="1"/>
    <col min="5381" max="5381" width="14.140625" style="418" customWidth="1"/>
    <col min="5382" max="5382" width="9.140625" style="418" customWidth="1"/>
    <col min="5383" max="5383" width="14.140625" style="418" customWidth="1"/>
    <col min="5384" max="5384" width="9.140625" style="418" customWidth="1"/>
    <col min="5385" max="5385" width="14.140625" style="418" customWidth="1"/>
    <col min="5386" max="5386" width="9.140625" style="418" customWidth="1"/>
    <col min="5387" max="5387" width="14.140625" style="418" customWidth="1"/>
    <col min="5388" max="5388" width="9.140625" style="418" customWidth="1"/>
    <col min="5389" max="5389" width="4" style="418" customWidth="1"/>
    <col min="5390" max="5632" width="9.140625" style="418"/>
    <col min="5633" max="5633" width="4.7109375" style="418" customWidth="1"/>
    <col min="5634" max="5634" width="6.7109375" style="418" customWidth="1"/>
    <col min="5635" max="5635" width="5.140625" style="418" customWidth="1"/>
    <col min="5636" max="5636" width="18.42578125" style="418" customWidth="1"/>
    <col min="5637" max="5637" width="14.140625" style="418" customWidth="1"/>
    <col min="5638" max="5638" width="9.140625" style="418" customWidth="1"/>
    <col min="5639" max="5639" width="14.140625" style="418" customWidth="1"/>
    <col min="5640" max="5640" width="9.140625" style="418" customWidth="1"/>
    <col min="5641" max="5641" width="14.140625" style="418" customWidth="1"/>
    <col min="5642" max="5642" width="9.140625" style="418" customWidth="1"/>
    <col min="5643" max="5643" width="14.140625" style="418" customWidth="1"/>
    <col min="5644" max="5644" width="9.140625" style="418" customWidth="1"/>
    <col min="5645" max="5645" width="4" style="418" customWidth="1"/>
    <col min="5646" max="5888" width="9.140625" style="418"/>
    <col min="5889" max="5889" width="4.7109375" style="418" customWidth="1"/>
    <col min="5890" max="5890" width="6.7109375" style="418" customWidth="1"/>
    <col min="5891" max="5891" width="5.140625" style="418" customWidth="1"/>
    <col min="5892" max="5892" width="18.42578125" style="418" customWidth="1"/>
    <col min="5893" max="5893" width="14.140625" style="418" customWidth="1"/>
    <col min="5894" max="5894" width="9.140625" style="418" customWidth="1"/>
    <col min="5895" max="5895" width="14.140625" style="418" customWidth="1"/>
    <col min="5896" max="5896" width="9.140625" style="418" customWidth="1"/>
    <col min="5897" max="5897" width="14.140625" style="418" customWidth="1"/>
    <col min="5898" max="5898" width="9.140625" style="418" customWidth="1"/>
    <col min="5899" max="5899" width="14.140625" style="418" customWidth="1"/>
    <col min="5900" max="5900" width="9.140625" style="418" customWidth="1"/>
    <col min="5901" max="5901" width="4" style="418" customWidth="1"/>
    <col min="5902" max="6144" width="9.140625" style="418"/>
    <col min="6145" max="6145" width="4.7109375" style="418" customWidth="1"/>
    <col min="6146" max="6146" width="6.7109375" style="418" customWidth="1"/>
    <col min="6147" max="6147" width="5.140625" style="418" customWidth="1"/>
    <col min="6148" max="6148" width="18.42578125" style="418" customWidth="1"/>
    <col min="6149" max="6149" width="14.140625" style="418" customWidth="1"/>
    <col min="6150" max="6150" width="9.140625" style="418" customWidth="1"/>
    <col min="6151" max="6151" width="14.140625" style="418" customWidth="1"/>
    <col min="6152" max="6152" width="9.140625" style="418" customWidth="1"/>
    <col min="6153" max="6153" width="14.140625" style="418" customWidth="1"/>
    <col min="6154" max="6154" width="9.140625" style="418" customWidth="1"/>
    <col min="6155" max="6155" width="14.140625" style="418" customWidth="1"/>
    <col min="6156" max="6156" width="9.140625" style="418" customWidth="1"/>
    <col min="6157" max="6157" width="4" style="418" customWidth="1"/>
    <col min="6158" max="6400" width="9.140625" style="418"/>
    <col min="6401" max="6401" width="4.7109375" style="418" customWidth="1"/>
    <col min="6402" max="6402" width="6.7109375" style="418" customWidth="1"/>
    <col min="6403" max="6403" width="5.140625" style="418" customWidth="1"/>
    <col min="6404" max="6404" width="18.42578125" style="418" customWidth="1"/>
    <col min="6405" max="6405" width="14.140625" style="418" customWidth="1"/>
    <col min="6406" max="6406" width="9.140625" style="418" customWidth="1"/>
    <col min="6407" max="6407" width="14.140625" style="418" customWidth="1"/>
    <col min="6408" max="6408" width="9.140625" style="418" customWidth="1"/>
    <col min="6409" max="6409" width="14.140625" style="418" customWidth="1"/>
    <col min="6410" max="6410" width="9.140625" style="418" customWidth="1"/>
    <col min="6411" max="6411" width="14.140625" style="418" customWidth="1"/>
    <col min="6412" max="6412" width="9.140625" style="418" customWidth="1"/>
    <col min="6413" max="6413" width="4" style="418" customWidth="1"/>
    <col min="6414" max="6656" width="9.140625" style="418"/>
    <col min="6657" max="6657" width="4.7109375" style="418" customWidth="1"/>
    <col min="6658" max="6658" width="6.7109375" style="418" customWidth="1"/>
    <col min="6659" max="6659" width="5.140625" style="418" customWidth="1"/>
    <col min="6660" max="6660" width="18.42578125" style="418" customWidth="1"/>
    <col min="6661" max="6661" width="14.140625" style="418" customWidth="1"/>
    <col min="6662" max="6662" width="9.140625" style="418" customWidth="1"/>
    <col min="6663" max="6663" width="14.140625" style="418" customWidth="1"/>
    <col min="6664" max="6664" width="9.140625" style="418" customWidth="1"/>
    <col min="6665" max="6665" width="14.140625" style="418" customWidth="1"/>
    <col min="6666" max="6666" width="9.140625" style="418" customWidth="1"/>
    <col min="6667" max="6667" width="14.140625" style="418" customWidth="1"/>
    <col min="6668" max="6668" width="9.140625" style="418" customWidth="1"/>
    <col min="6669" max="6669" width="4" style="418" customWidth="1"/>
    <col min="6670" max="6912" width="9.140625" style="418"/>
    <col min="6913" max="6913" width="4.7109375" style="418" customWidth="1"/>
    <col min="6914" max="6914" width="6.7109375" style="418" customWidth="1"/>
    <col min="6915" max="6915" width="5.140625" style="418" customWidth="1"/>
    <col min="6916" max="6916" width="18.42578125" style="418" customWidth="1"/>
    <col min="6917" max="6917" width="14.140625" style="418" customWidth="1"/>
    <col min="6918" max="6918" width="9.140625" style="418" customWidth="1"/>
    <col min="6919" max="6919" width="14.140625" style="418" customWidth="1"/>
    <col min="6920" max="6920" width="9.140625" style="418" customWidth="1"/>
    <col min="6921" max="6921" width="14.140625" style="418" customWidth="1"/>
    <col min="6922" max="6922" width="9.140625" style="418" customWidth="1"/>
    <col min="6923" max="6923" width="14.140625" style="418" customWidth="1"/>
    <col min="6924" max="6924" width="9.140625" style="418" customWidth="1"/>
    <col min="6925" max="6925" width="4" style="418" customWidth="1"/>
    <col min="6926" max="7168" width="9.140625" style="418"/>
    <col min="7169" max="7169" width="4.7109375" style="418" customWidth="1"/>
    <col min="7170" max="7170" width="6.7109375" style="418" customWidth="1"/>
    <col min="7171" max="7171" width="5.140625" style="418" customWidth="1"/>
    <col min="7172" max="7172" width="18.42578125" style="418" customWidth="1"/>
    <col min="7173" max="7173" width="14.140625" style="418" customWidth="1"/>
    <col min="7174" max="7174" width="9.140625" style="418" customWidth="1"/>
    <col min="7175" max="7175" width="14.140625" style="418" customWidth="1"/>
    <col min="7176" max="7176" width="9.140625" style="418" customWidth="1"/>
    <col min="7177" max="7177" width="14.140625" style="418" customWidth="1"/>
    <col min="7178" max="7178" width="9.140625" style="418" customWidth="1"/>
    <col min="7179" max="7179" width="14.140625" style="418" customWidth="1"/>
    <col min="7180" max="7180" width="9.140625" style="418" customWidth="1"/>
    <col min="7181" max="7181" width="4" style="418" customWidth="1"/>
    <col min="7182" max="7424" width="9.140625" style="418"/>
    <col min="7425" max="7425" width="4.7109375" style="418" customWidth="1"/>
    <col min="7426" max="7426" width="6.7109375" style="418" customWidth="1"/>
    <col min="7427" max="7427" width="5.140625" style="418" customWidth="1"/>
    <col min="7428" max="7428" width="18.42578125" style="418" customWidth="1"/>
    <col min="7429" max="7429" width="14.140625" style="418" customWidth="1"/>
    <col min="7430" max="7430" width="9.140625" style="418" customWidth="1"/>
    <col min="7431" max="7431" width="14.140625" style="418" customWidth="1"/>
    <col min="7432" max="7432" width="9.140625" style="418" customWidth="1"/>
    <col min="7433" max="7433" width="14.140625" style="418" customWidth="1"/>
    <col min="7434" max="7434" width="9.140625" style="418" customWidth="1"/>
    <col min="7435" max="7435" width="14.140625" style="418" customWidth="1"/>
    <col min="7436" max="7436" width="9.140625" style="418" customWidth="1"/>
    <col min="7437" max="7437" width="4" style="418" customWidth="1"/>
    <col min="7438" max="7680" width="9.140625" style="418"/>
    <col min="7681" max="7681" width="4.7109375" style="418" customWidth="1"/>
    <col min="7682" max="7682" width="6.7109375" style="418" customWidth="1"/>
    <col min="7683" max="7683" width="5.140625" style="418" customWidth="1"/>
    <col min="7684" max="7684" width="18.42578125" style="418" customWidth="1"/>
    <col min="7685" max="7685" width="14.140625" style="418" customWidth="1"/>
    <col min="7686" max="7686" width="9.140625" style="418" customWidth="1"/>
    <col min="7687" max="7687" width="14.140625" style="418" customWidth="1"/>
    <col min="7688" max="7688" width="9.140625" style="418" customWidth="1"/>
    <col min="7689" max="7689" width="14.140625" style="418" customWidth="1"/>
    <col min="7690" max="7690" width="9.140625" style="418" customWidth="1"/>
    <col min="7691" max="7691" width="14.140625" style="418" customWidth="1"/>
    <col min="7692" max="7692" width="9.140625" style="418" customWidth="1"/>
    <col min="7693" max="7693" width="4" style="418" customWidth="1"/>
    <col min="7694" max="7936" width="9.140625" style="418"/>
    <col min="7937" max="7937" width="4.7109375" style="418" customWidth="1"/>
    <col min="7938" max="7938" width="6.7109375" style="418" customWidth="1"/>
    <col min="7939" max="7939" width="5.140625" style="418" customWidth="1"/>
    <col min="7940" max="7940" width="18.42578125" style="418" customWidth="1"/>
    <col min="7941" max="7941" width="14.140625" style="418" customWidth="1"/>
    <col min="7942" max="7942" width="9.140625" style="418" customWidth="1"/>
    <col min="7943" max="7943" width="14.140625" style="418" customWidth="1"/>
    <col min="7944" max="7944" width="9.140625" style="418" customWidth="1"/>
    <col min="7945" max="7945" width="14.140625" style="418" customWidth="1"/>
    <col min="7946" max="7946" width="9.140625" style="418" customWidth="1"/>
    <col min="7947" max="7947" width="14.140625" style="418" customWidth="1"/>
    <col min="7948" max="7948" width="9.140625" style="418" customWidth="1"/>
    <col min="7949" max="7949" width="4" style="418" customWidth="1"/>
    <col min="7950" max="8192" width="9.140625" style="418"/>
    <col min="8193" max="8193" width="4.7109375" style="418" customWidth="1"/>
    <col min="8194" max="8194" width="6.7109375" style="418" customWidth="1"/>
    <col min="8195" max="8195" width="5.140625" style="418" customWidth="1"/>
    <col min="8196" max="8196" width="18.42578125" style="418" customWidth="1"/>
    <col min="8197" max="8197" width="14.140625" style="418" customWidth="1"/>
    <col min="8198" max="8198" width="9.140625" style="418" customWidth="1"/>
    <col min="8199" max="8199" width="14.140625" style="418" customWidth="1"/>
    <col min="8200" max="8200" width="9.140625" style="418" customWidth="1"/>
    <col min="8201" max="8201" width="14.140625" style="418" customWidth="1"/>
    <col min="8202" max="8202" width="9.140625" style="418" customWidth="1"/>
    <col min="8203" max="8203" width="14.140625" style="418" customWidth="1"/>
    <col min="8204" max="8204" width="9.140625" style="418" customWidth="1"/>
    <col min="8205" max="8205" width="4" style="418" customWidth="1"/>
    <col min="8206" max="8448" width="9.140625" style="418"/>
    <col min="8449" max="8449" width="4.7109375" style="418" customWidth="1"/>
    <col min="8450" max="8450" width="6.7109375" style="418" customWidth="1"/>
    <col min="8451" max="8451" width="5.140625" style="418" customWidth="1"/>
    <col min="8452" max="8452" width="18.42578125" style="418" customWidth="1"/>
    <col min="8453" max="8453" width="14.140625" style="418" customWidth="1"/>
    <col min="8454" max="8454" width="9.140625" style="418" customWidth="1"/>
    <col min="8455" max="8455" width="14.140625" style="418" customWidth="1"/>
    <col min="8456" max="8456" width="9.140625" style="418" customWidth="1"/>
    <col min="8457" max="8457" width="14.140625" style="418" customWidth="1"/>
    <col min="8458" max="8458" width="9.140625" style="418" customWidth="1"/>
    <col min="8459" max="8459" width="14.140625" style="418" customWidth="1"/>
    <col min="8460" max="8460" width="9.140625" style="418" customWidth="1"/>
    <col min="8461" max="8461" width="4" style="418" customWidth="1"/>
    <col min="8462" max="8704" width="9.140625" style="418"/>
    <col min="8705" max="8705" width="4.7109375" style="418" customWidth="1"/>
    <col min="8706" max="8706" width="6.7109375" style="418" customWidth="1"/>
    <col min="8707" max="8707" width="5.140625" style="418" customWidth="1"/>
    <col min="8708" max="8708" width="18.42578125" style="418" customWidth="1"/>
    <col min="8709" max="8709" width="14.140625" style="418" customWidth="1"/>
    <col min="8710" max="8710" width="9.140625" style="418" customWidth="1"/>
    <col min="8711" max="8711" width="14.140625" style="418" customWidth="1"/>
    <col min="8712" max="8712" width="9.140625" style="418" customWidth="1"/>
    <col min="8713" max="8713" width="14.140625" style="418" customWidth="1"/>
    <col min="8714" max="8714" width="9.140625" style="418" customWidth="1"/>
    <col min="8715" max="8715" width="14.140625" style="418" customWidth="1"/>
    <col min="8716" max="8716" width="9.140625" style="418" customWidth="1"/>
    <col min="8717" max="8717" width="4" style="418" customWidth="1"/>
    <col min="8718" max="8960" width="9.140625" style="418"/>
    <col min="8961" max="8961" width="4.7109375" style="418" customWidth="1"/>
    <col min="8962" max="8962" width="6.7109375" style="418" customWidth="1"/>
    <col min="8963" max="8963" width="5.140625" style="418" customWidth="1"/>
    <col min="8964" max="8964" width="18.42578125" style="418" customWidth="1"/>
    <col min="8965" max="8965" width="14.140625" style="418" customWidth="1"/>
    <col min="8966" max="8966" width="9.140625" style="418" customWidth="1"/>
    <col min="8967" max="8967" width="14.140625" style="418" customWidth="1"/>
    <col min="8968" max="8968" width="9.140625" style="418" customWidth="1"/>
    <col min="8969" max="8969" width="14.140625" style="418" customWidth="1"/>
    <col min="8970" max="8970" width="9.140625" style="418" customWidth="1"/>
    <col min="8971" max="8971" width="14.140625" style="418" customWidth="1"/>
    <col min="8972" max="8972" width="9.140625" style="418" customWidth="1"/>
    <col min="8973" max="8973" width="4" style="418" customWidth="1"/>
    <col min="8974" max="9216" width="9.140625" style="418"/>
    <col min="9217" max="9217" width="4.7109375" style="418" customWidth="1"/>
    <col min="9218" max="9218" width="6.7109375" style="418" customWidth="1"/>
    <col min="9219" max="9219" width="5.140625" style="418" customWidth="1"/>
    <col min="9220" max="9220" width="18.42578125" style="418" customWidth="1"/>
    <col min="9221" max="9221" width="14.140625" style="418" customWidth="1"/>
    <col min="9222" max="9222" width="9.140625" style="418" customWidth="1"/>
    <col min="9223" max="9223" width="14.140625" style="418" customWidth="1"/>
    <col min="9224" max="9224" width="9.140625" style="418" customWidth="1"/>
    <col min="9225" max="9225" width="14.140625" style="418" customWidth="1"/>
    <col min="9226" max="9226" width="9.140625" style="418" customWidth="1"/>
    <col min="9227" max="9227" width="14.140625" style="418" customWidth="1"/>
    <col min="9228" max="9228" width="9.140625" style="418" customWidth="1"/>
    <col min="9229" max="9229" width="4" style="418" customWidth="1"/>
    <col min="9230" max="9472" width="9.140625" style="418"/>
    <col min="9473" max="9473" width="4.7109375" style="418" customWidth="1"/>
    <col min="9474" max="9474" width="6.7109375" style="418" customWidth="1"/>
    <col min="9475" max="9475" width="5.140625" style="418" customWidth="1"/>
    <col min="9476" max="9476" width="18.42578125" style="418" customWidth="1"/>
    <col min="9477" max="9477" width="14.140625" style="418" customWidth="1"/>
    <col min="9478" max="9478" width="9.140625" style="418" customWidth="1"/>
    <col min="9479" max="9479" width="14.140625" style="418" customWidth="1"/>
    <col min="9480" max="9480" width="9.140625" style="418" customWidth="1"/>
    <col min="9481" max="9481" width="14.140625" style="418" customWidth="1"/>
    <col min="9482" max="9482" width="9.140625" style="418" customWidth="1"/>
    <col min="9483" max="9483" width="14.140625" style="418" customWidth="1"/>
    <col min="9484" max="9484" width="9.140625" style="418" customWidth="1"/>
    <col min="9485" max="9485" width="4" style="418" customWidth="1"/>
    <col min="9486" max="9728" width="9.140625" style="418"/>
    <col min="9729" max="9729" width="4.7109375" style="418" customWidth="1"/>
    <col min="9730" max="9730" width="6.7109375" style="418" customWidth="1"/>
    <col min="9731" max="9731" width="5.140625" style="418" customWidth="1"/>
    <col min="9732" max="9732" width="18.42578125" style="418" customWidth="1"/>
    <col min="9733" max="9733" width="14.140625" style="418" customWidth="1"/>
    <col min="9734" max="9734" width="9.140625" style="418" customWidth="1"/>
    <col min="9735" max="9735" width="14.140625" style="418" customWidth="1"/>
    <col min="9736" max="9736" width="9.140625" style="418" customWidth="1"/>
    <col min="9737" max="9737" width="14.140625" style="418" customWidth="1"/>
    <col min="9738" max="9738" width="9.140625" style="418" customWidth="1"/>
    <col min="9739" max="9739" width="14.140625" style="418" customWidth="1"/>
    <col min="9740" max="9740" width="9.140625" style="418" customWidth="1"/>
    <col min="9741" max="9741" width="4" style="418" customWidth="1"/>
    <col min="9742" max="9984" width="9.140625" style="418"/>
    <col min="9985" max="9985" width="4.7109375" style="418" customWidth="1"/>
    <col min="9986" max="9986" width="6.7109375" style="418" customWidth="1"/>
    <col min="9987" max="9987" width="5.140625" style="418" customWidth="1"/>
    <col min="9988" max="9988" width="18.42578125" style="418" customWidth="1"/>
    <col min="9989" max="9989" width="14.140625" style="418" customWidth="1"/>
    <col min="9990" max="9990" width="9.140625" style="418" customWidth="1"/>
    <col min="9991" max="9991" width="14.140625" style="418" customWidth="1"/>
    <col min="9992" max="9992" width="9.140625" style="418" customWidth="1"/>
    <col min="9993" max="9993" width="14.140625" style="418" customWidth="1"/>
    <col min="9994" max="9994" width="9.140625" style="418" customWidth="1"/>
    <col min="9995" max="9995" width="14.140625" style="418" customWidth="1"/>
    <col min="9996" max="9996" width="9.140625" style="418" customWidth="1"/>
    <col min="9997" max="9997" width="4" style="418" customWidth="1"/>
    <col min="9998" max="10240" width="9.140625" style="418"/>
    <col min="10241" max="10241" width="4.7109375" style="418" customWidth="1"/>
    <col min="10242" max="10242" width="6.7109375" style="418" customWidth="1"/>
    <col min="10243" max="10243" width="5.140625" style="418" customWidth="1"/>
    <col min="10244" max="10244" width="18.42578125" style="418" customWidth="1"/>
    <col min="10245" max="10245" width="14.140625" style="418" customWidth="1"/>
    <col min="10246" max="10246" width="9.140625" style="418" customWidth="1"/>
    <col min="10247" max="10247" width="14.140625" style="418" customWidth="1"/>
    <col min="10248" max="10248" width="9.140625" style="418" customWidth="1"/>
    <col min="10249" max="10249" width="14.140625" style="418" customWidth="1"/>
    <col min="10250" max="10250" width="9.140625" style="418" customWidth="1"/>
    <col min="10251" max="10251" width="14.140625" style="418" customWidth="1"/>
    <col min="10252" max="10252" width="9.140625" style="418" customWidth="1"/>
    <col min="10253" max="10253" width="4" style="418" customWidth="1"/>
    <col min="10254" max="10496" width="9.140625" style="418"/>
    <col min="10497" max="10497" width="4.7109375" style="418" customWidth="1"/>
    <col min="10498" max="10498" width="6.7109375" style="418" customWidth="1"/>
    <col min="10499" max="10499" width="5.140625" style="418" customWidth="1"/>
    <col min="10500" max="10500" width="18.42578125" style="418" customWidth="1"/>
    <col min="10501" max="10501" width="14.140625" style="418" customWidth="1"/>
    <col min="10502" max="10502" width="9.140625" style="418" customWidth="1"/>
    <col min="10503" max="10503" width="14.140625" style="418" customWidth="1"/>
    <col min="10504" max="10504" width="9.140625" style="418" customWidth="1"/>
    <col min="10505" max="10505" width="14.140625" style="418" customWidth="1"/>
    <col min="10506" max="10506" width="9.140625" style="418" customWidth="1"/>
    <col min="10507" max="10507" width="14.140625" style="418" customWidth="1"/>
    <col min="10508" max="10508" width="9.140625" style="418" customWidth="1"/>
    <col min="10509" max="10509" width="4" style="418" customWidth="1"/>
    <col min="10510" max="10752" width="9.140625" style="418"/>
    <col min="10753" max="10753" width="4.7109375" style="418" customWidth="1"/>
    <col min="10754" max="10754" width="6.7109375" style="418" customWidth="1"/>
    <col min="10755" max="10755" width="5.140625" style="418" customWidth="1"/>
    <col min="10756" max="10756" width="18.42578125" style="418" customWidth="1"/>
    <col min="10757" max="10757" width="14.140625" style="418" customWidth="1"/>
    <col min="10758" max="10758" width="9.140625" style="418" customWidth="1"/>
    <col min="10759" max="10759" width="14.140625" style="418" customWidth="1"/>
    <col min="10760" max="10760" width="9.140625" style="418" customWidth="1"/>
    <col min="10761" max="10761" width="14.140625" style="418" customWidth="1"/>
    <col min="10762" max="10762" width="9.140625" style="418" customWidth="1"/>
    <col min="10763" max="10763" width="14.140625" style="418" customWidth="1"/>
    <col min="10764" max="10764" width="9.140625" style="418" customWidth="1"/>
    <col min="10765" max="10765" width="4" style="418" customWidth="1"/>
    <col min="10766" max="11008" width="9.140625" style="418"/>
    <col min="11009" max="11009" width="4.7109375" style="418" customWidth="1"/>
    <col min="11010" max="11010" width="6.7109375" style="418" customWidth="1"/>
    <col min="11011" max="11011" width="5.140625" style="418" customWidth="1"/>
    <col min="11012" max="11012" width="18.42578125" style="418" customWidth="1"/>
    <col min="11013" max="11013" width="14.140625" style="418" customWidth="1"/>
    <col min="11014" max="11014" width="9.140625" style="418" customWidth="1"/>
    <col min="11015" max="11015" width="14.140625" style="418" customWidth="1"/>
    <col min="11016" max="11016" width="9.140625" style="418" customWidth="1"/>
    <col min="11017" max="11017" width="14.140625" style="418" customWidth="1"/>
    <col min="11018" max="11018" width="9.140625" style="418" customWidth="1"/>
    <col min="11019" max="11019" width="14.140625" style="418" customWidth="1"/>
    <col min="11020" max="11020" width="9.140625" style="418" customWidth="1"/>
    <col min="11021" max="11021" width="4" style="418" customWidth="1"/>
    <col min="11022" max="11264" width="9.140625" style="418"/>
    <col min="11265" max="11265" width="4.7109375" style="418" customWidth="1"/>
    <col min="11266" max="11266" width="6.7109375" style="418" customWidth="1"/>
    <col min="11267" max="11267" width="5.140625" style="418" customWidth="1"/>
    <col min="11268" max="11268" width="18.42578125" style="418" customWidth="1"/>
    <col min="11269" max="11269" width="14.140625" style="418" customWidth="1"/>
    <col min="11270" max="11270" width="9.140625" style="418" customWidth="1"/>
    <col min="11271" max="11271" width="14.140625" style="418" customWidth="1"/>
    <col min="11272" max="11272" width="9.140625" style="418" customWidth="1"/>
    <col min="11273" max="11273" width="14.140625" style="418" customWidth="1"/>
    <col min="11274" max="11274" width="9.140625" style="418" customWidth="1"/>
    <col min="11275" max="11275" width="14.140625" style="418" customWidth="1"/>
    <col min="11276" max="11276" width="9.140625" style="418" customWidth="1"/>
    <col min="11277" max="11277" width="4" style="418" customWidth="1"/>
    <col min="11278" max="11520" width="9.140625" style="418"/>
    <col min="11521" max="11521" width="4.7109375" style="418" customWidth="1"/>
    <col min="11522" max="11522" width="6.7109375" style="418" customWidth="1"/>
    <col min="11523" max="11523" width="5.140625" style="418" customWidth="1"/>
    <col min="11524" max="11524" width="18.42578125" style="418" customWidth="1"/>
    <col min="11525" max="11525" width="14.140625" style="418" customWidth="1"/>
    <col min="11526" max="11526" width="9.140625" style="418" customWidth="1"/>
    <col min="11527" max="11527" width="14.140625" style="418" customWidth="1"/>
    <col min="11528" max="11528" width="9.140625" style="418" customWidth="1"/>
    <col min="11529" max="11529" width="14.140625" style="418" customWidth="1"/>
    <col min="11530" max="11530" width="9.140625" style="418" customWidth="1"/>
    <col min="11531" max="11531" width="14.140625" style="418" customWidth="1"/>
    <col min="11532" max="11532" width="9.140625" style="418" customWidth="1"/>
    <col min="11533" max="11533" width="4" style="418" customWidth="1"/>
    <col min="11534" max="11776" width="9.140625" style="418"/>
    <col min="11777" max="11777" width="4.7109375" style="418" customWidth="1"/>
    <col min="11778" max="11778" width="6.7109375" style="418" customWidth="1"/>
    <col min="11779" max="11779" width="5.140625" style="418" customWidth="1"/>
    <col min="11780" max="11780" width="18.42578125" style="418" customWidth="1"/>
    <col min="11781" max="11781" width="14.140625" style="418" customWidth="1"/>
    <col min="11782" max="11782" width="9.140625" style="418" customWidth="1"/>
    <col min="11783" max="11783" width="14.140625" style="418" customWidth="1"/>
    <col min="11784" max="11784" width="9.140625" style="418" customWidth="1"/>
    <col min="11785" max="11785" width="14.140625" style="418" customWidth="1"/>
    <col min="11786" max="11786" width="9.140625" style="418" customWidth="1"/>
    <col min="11787" max="11787" width="14.140625" style="418" customWidth="1"/>
    <col min="11788" max="11788" width="9.140625" style="418" customWidth="1"/>
    <col min="11789" max="11789" width="4" style="418" customWidth="1"/>
    <col min="11790" max="12032" width="9.140625" style="418"/>
    <col min="12033" max="12033" width="4.7109375" style="418" customWidth="1"/>
    <col min="12034" max="12034" width="6.7109375" style="418" customWidth="1"/>
    <col min="12035" max="12035" width="5.140625" style="418" customWidth="1"/>
    <col min="12036" max="12036" width="18.42578125" style="418" customWidth="1"/>
    <col min="12037" max="12037" width="14.140625" style="418" customWidth="1"/>
    <col min="12038" max="12038" width="9.140625" style="418" customWidth="1"/>
    <col min="12039" max="12039" width="14.140625" style="418" customWidth="1"/>
    <col min="12040" max="12040" width="9.140625" style="418" customWidth="1"/>
    <col min="12041" max="12041" width="14.140625" style="418" customWidth="1"/>
    <col min="12042" max="12042" width="9.140625" style="418" customWidth="1"/>
    <col min="12043" max="12043" width="14.140625" style="418" customWidth="1"/>
    <col min="12044" max="12044" width="9.140625" style="418" customWidth="1"/>
    <col min="12045" max="12045" width="4" style="418" customWidth="1"/>
    <col min="12046" max="12288" width="9.140625" style="418"/>
    <col min="12289" max="12289" width="4.7109375" style="418" customWidth="1"/>
    <col min="12290" max="12290" width="6.7109375" style="418" customWidth="1"/>
    <col min="12291" max="12291" width="5.140625" style="418" customWidth="1"/>
    <col min="12292" max="12292" width="18.42578125" style="418" customWidth="1"/>
    <col min="12293" max="12293" width="14.140625" style="418" customWidth="1"/>
    <col min="12294" max="12294" width="9.140625" style="418" customWidth="1"/>
    <col min="12295" max="12295" width="14.140625" style="418" customWidth="1"/>
    <col min="12296" max="12296" width="9.140625" style="418" customWidth="1"/>
    <col min="12297" max="12297" width="14.140625" style="418" customWidth="1"/>
    <col min="12298" max="12298" width="9.140625" style="418" customWidth="1"/>
    <col min="12299" max="12299" width="14.140625" style="418" customWidth="1"/>
    <col min="12300" max="12300" width="9.140625" style="418" customWidth="1"/>
    <col min="12301" max="12301" width="4" style="418" customWidth="1"/>
    <col min="12302" max="12544" width="9.140625" style="418"/>
    <col min="12545" max="12545" width="4.7109375" style="418" customWidth="1"/>
    <col min="12546" max="12546" width="6.7109375" style="418" customWidth="1"/>
    <col min="12547" max="12547" width="5.140625" style="418" customWidth="1"/>
    <col min="12548" max="12548" width="18.42578125" style="418" customWidth="1"/>
    <col min="12549" max="12549" width="14.140625" style="418" customWidth="1"/>
    <col min="12550" max="12550" width="9.140625" style="418" customWidth="1"/>
    <col min="12551" max="12551" width="14.140625" style="418" customWidth="1"/>
    <col min="12552" max="12552" width="9.140625" style="418" customWidth="1"/>
    <col min="12553" max="12553" width="14.140625" style="418" customWidth="1"/>
    <col min="12554" max="12554" width="9.140625" style="418" customWidth="1"/>
    <col min="12555" max="12555" width="14.140625" style="418" customWidth="1"/>
    <col min="12556" max="12556" width="9.140625" style="418" customWidth="1"/>
    <col min="12557" max="12557" width="4" style="418" customWidth="1"/>
    <col min="12558" max="12800" width="9.140625" style="418"/>
    <col min="12801" max="12801" width="4.7109375" style="418" customWidth="1"/>
    <col min="12802" max="12802" width="6.7109375" style="418" customWidth="1"/>
    <col min="12803" max="12803" width="5.140625" style="418" customWidth="1"/>
    <col min="12804" max="12804" width="18.42578125" style="418" customWidth="1"/>
    <col min="12805" max="12805" width="14.140625" style="418" customWidth="1"/>
    <col min="12806" max="12806" width="9.140625" style="418" customWidth="1"/>
    <col min="12807" max="12807" width="14.140625" style="418" customWidth="1"/>
    <col min="12808" max="12808" width="9.140625" style="418" customWidth="1"/>
    <col min="12809" max="12809" width="14.140625" style="418" customWidth="1"/>
    <col min="12810" max="12810" width="9.140625" style="418" customWidth="1"/>
    <col min="12811" max="12811" width="14.140625" style="418" customWidth="1"/>
    <col min="12812" max="12812" width="9.140625" style="418" customWidth="1"/>
    <col min="12813" max="12813" width="4" style="418" customWidth="1"/>
    <col min="12814" max="13056" width="9.140625" style="418"/>
    <col min="13057" max="13057" width="4.7109375" style="418" customWidth="1"/>
    <col min="13058" max="13058" width="6.7109375" style="418" customWidth="1"/>
    <col min="13059" max="13059" width="5.140625" style="418" customWidth="1"/>
    <col min="13060" max="13060" width="18.42578125" style="418" customWidth="1"/>
    <col min="13061" max="13061" width="14.140625" style="418" customWidth="1"/>
    <col min="13062" max="13062" width="9.140625" style="418" customWidth="1"/>
    <col min="13063" max="13063" width="14.140625" style="418" customWidth="1"/>
    <col min="13064" max="13064" width="9.140625" style="418" customWidth="1"/>
    <col min="13065" max="13065" width="14.140625" style="418" customWidth="1"/>
    <col min="13066" max="13066" width="9.140625" style="418" customWidth="1"/>
    <col min="13067" max="13067" width="14.140625" style="418" customWidth="1"/>
    <col min="13068" max="13068" width="9.140625" style="418" customWidth="1"/>
    <col min="13069" max="13069" width="4" style="418" customWidth="1"/>
    <col min="13070" max="13312" width="9.140625" style="418"/>
    <col min="13313" max="13313" width="4.7109375" style="418" customWidth="1"/>
    <col min="13314" max="13314" width="6.7109375" style="418" customWidth="1"/>
    <col min="13315" max="13315" width="5.140625" style="418" customWidth="1"/>
    <col min="13316" max="13316" width="18.42578125" style="418" customWidth="1"/>
    <col min="13317" max="13317" width="14.140625" style="418" customWidth="1"/>
    <col min="13318" max="13318" width="9.140625" style="418" customWidth="1"/>
    <col min="13319" max="13319" width="14.140625" style="418" customWidth="1"/>
    <col min="13320" max="13320" width="9.140625" style="418" customWidth="1"/>
    <col min="13321" max="13321" width="14.140625" style="418" customWidth="1"/>
    <col min="13322" max="13322" width="9.140625" style="418" customWidth="1"/>
    <col min="13323" max="13323" width="14.140625" style="418" customWidth="1"/>
    <col min="13324" max="13324" width="9.140625" style="418" customWidth="1"/>
    <col min="13325" max="13325" width="4" style="418" customWidth="1"/>
    <col min="13326" max="13568" width="9.140625" style="418"/>
    <col min="13569" max="13569" width="4.7109375" style="418" customWidth="1"/>
    <col min="13570" max="13570" width="6.7109375" style="418" customWidth="1"/>
    <col min="13571" max="13571" width="5.140625" style="418" customWidth="1"/>
    <col min="13572" max="13572" width="18.42578125" style="418" customWidth="1"/>
    <col min="13573" max="13573" width="14.140625" style="418" customWidth="1"/>
    <col min="13574" max="13574" width="9.140625" style="418" customWidth="1"/>
    <col min="13575" max="13575" width="14.140625" style="418" customWidth="1"/>
    <col min="13576" max="13576" width="9.140625" style="418" customWidth="1"/>
    <col min="13577" max="13577" width="14.140625" style="418" customWidth="1"/>
    <col min="13578" max="13578" width="9.140625" style="418" customWidth="1"/>
    <col min="13579" max="13579" width="14.140625" style="418" customWidth="1"/>
    <col min="13580" max="13580" width="9.140625" style="418" customWidth="1"/>
    <col min="13581" max="13581" width="4" style="418" customWidth="1"/>
    <col min="13582" max="13824" width="9.140625" style="418"/>
    <col min="13825" max="13825" width="4.7109375" style="418" customWidth="1"/>
    <col min="13826" max="13826" width="6.7109375" style="418" customWidth="1"/>
    <col min="13827" max="13827" width="5.140625" style="418" customWidth="1"/>
    <col min="13828" max="13828" width="18.42578125" style="418" customWidth="1"/>
    <col min="13829" max="13829" width="14.140625" style="418" customWidth="1"/>
    <col min="13830" max="13830" width="9.140625" style="418" customWidth="1"/>
    <col min="13831" max="13831" width="14.140625" style="418" customWidth="1"/>
    <col min="13832" max="13832" width="9.140625" style="418" customWidth="1"/>
    <col min="13833" max="13833" width="14.140625" style="418" customWidth="1"/>
    <col min="13834" max="13834" width="9.140625" style="418" customWidth="1"/>
    <col min="13835" max="13835" width="14.140625" style="418" customWidth="1"/>
    <col min="13836" max="13836" width="9.140625" style="418" customWidth="1"/>
    <col min="13837" max="13837" width="4" style="418" customWidth="1"/>
    <col min="13838" max="14080" width="9.140625" style="418"/>
    <col min="14081" max="14081" width="4.7109375" style="418" customWidth="1"/>
    <col min="14082" max="14082" width="6.7109375" style="418" customWidth="1"/>
    <col min="14083" max="14083" width="5.140625" style="418" customWidth="1"/>
    <col min="14084" max="14084" width="18.42578125" style="418" customWidth="1"/>
    <col min="14085" max="14085" width="14.140625" style="418" customWidth="1"/>
    <col min="14086" max="14086" width="9.140625" style="418" customWidth="1"/>
    <col min="14087" max="14087" width="14.140625" style="418" customWidth="1"/>
    <col min="14088" max="14088" width="9.140625" style="418" customWidth="1"/>
    <col min="14089" max="14089" width="14.140625" style="418" customWidth="1"/>
    <col min="14090" max="14090" width="9.140625" style="418" customWidth="1"/>
    <col min="14091" max="14091" width="14.140625" style="418" customWidth="1"/>
    <col min="14092" max="14092" width="9.140625" style="418" customWidth="1"/>
    <col min="14093" max="14093" width="4" style="418" customWidth="1"/>
    <col min="14094" max="14336" width="9.140625" style="418"/>
    <col min="14337" max="14337" width="4.7109375" style="418" customWidth="1"/>
    <col min="14338" max="14338" width="6.7109375" style="418" customWidth="1"/>
    <col min="14339" max="14339" width="5.140625" style="418" customWidth="1"/>
    <col min="14340" max="14340" width="18.42578125" style="418" customWidth="1"/>
    <col min="14341" max="14341" width="14.140625" style="418" customWidth="1"/>
    <col min="14342" max="14342" width="9.140625" style="418" customWidth="1"/>
    <col min="14343" max="14343" width="14.140625" style="418" customWidth="1"/>
    <col min="14344" max="14344" width="9.140625" style="418" customWidth="1"/>
    <col min="14345" max="14345" width="14.140625" style="418" customWidth="1"/>
    <col min="14346" max="14346" width="9.140625" style="418" customWidth="1"/>
    <col min="14347" max="14347" width="14.140625" style="418" customWidth="1"/>
    <col min="14348" max="14348" width="9.140625" style="418" customWidth="1"/>
    <col min="14349" max="14349" width="4" style="418" customWidth="1"/>
    <col min="14350" max="14592" width="9.140625" style="418"/>
    <col min="14593" max="14593" width="4.7109375" style="418" customWidth="1"/>
    <col min="14594" max="14594" width="6.7109375" style="418" customWidth="1"/>
    <col min="14595" max="14595" width="5.140625" style="418" customWidth="1"/>
    <col min="14596" max="14596" width="18.42578125" style="418" customWidth="1"/>
    <col min="14597" max="14597" width="14.140625" style="418" customWidth="1"/>
    <col min="14598" max="14598" width="9.140625" style="418" customWidth="1"/>
    <col min="14599" max="14599" width="14.140625" style="418" customWidth="1"/>
    <col min="14600" max="14600" width="9.140625" style="418" customWidth="1"/>
    <col min="14601" max="14601" width="14.140625" style="418" customWidth="1"/>
    <col min="14602" max="14602" width="9.140625" style="418" customWidth="1"/>
    <col min="14603" max="14603" width="14.140625" style="418" customWidth="1"/>
    <col min="14604" max="14604" width="9.140625" style="418" customWidth="1"/>
    <col min="14605" max="14605" width="4" style="418" customWidth="1"/>
    <col min="14606" max="14848" width="9.140625" style="418"/>
    <col min="14849" max="14849" width="4.7109375" style="418" customWidth="1"/>
    <col min="14850" max="14850" width="6.7109375" style="418" customWidth="1"/>
    <col min="14851" max="14851" width="5.140625" style="418" customWidth="1"/>
    <col min="14852" max="14852" width="18.42578125" style="418" customWidth="1"/>
    <col min="14853" max="14853" width="14.140625" style="418" customWidth="1"/>
    <col min="14854" max="14854" width="9.140625" style="418" customWidth="1"/>
    <col min="14855" max="14855" width="14.140625" style="418" customWidth="1"/>
    <col min="14856" max="14856" width="9.140625" style="418" customWidth="1"/>
    <col min="14857" max="14857" width="14.140625" style="418" customWidth="1"/>
    <col min="14858" max="14858" width="9.140625" style="418" customWidth="1"/>
    <col min="14859" max="14859" width="14.140625" style="418" customWidth="1"/>
    <col min="14860" max="14860" width="9.140625" style="418" customWidth="1"/>
    <col min="14861" max="14861" width="4" style="418" customWidth="1"/>
    <col min="14862" max="15104" width="9.140625" style="418"/>
    <col min="15105" max="15105" width="4.7109375" style="418" customWidth="1"/>
    <col min="15106" max="15106" width="6.7109375" style="418" customWidth="1"/>
    <col min="15107" max="15107" width="5.140625" style="418" customWidth="1"/>
    <col min="15108" max="15108" width="18.42578125" style="418" customWidth="1"/>
    <col min="15109" max="15109" width="14.140625" style="418" customWidth="1"/>
    <col min="15110" max="15110" width="9.140625" style="418" customWidth="1"/>
    <col min="15111" max="15111" width="14.140625" style="418" customWidth="1"/>
    <col min="15112" max="15112" width="9.140625" style="418" customWidth="1"/>
    <col min="15113" max="15113" width="14.140625" style="418" customWidth="1"/>
    <col min="15114" max="15114" width="9.140625" style="418" customWidth="1"/>
    <col min="15115" max="15115" width="14.140625" style="418" customWidth="1"/>
    <col min="15116" max="15116" width="9.140625" style="418" customWidth="1"/>
    <col min="15117" max="15117" width="4" style="418" customWidth="1"/>
    <col min="15118" max="15360" width="9.140625" style="418"/>
    <col min="15361" max="15361" width="4.7109375" style="418" customWidth="1"/>
    <col min="15362" max="15362" width="6.7109375" style="418" customWidth="1"/>
    <col min="15363" max="15363" width="5.140625" style="418" customWidth="1"/>
    <col min="15364" max="15364" width="18.42578125" style="418" customWidth="1"/>
    <col min="15365" max="15365" width="14.140625" style="418" customWidth="1"/>
    <col min="15366" max="15366" width="9.140625" style="418" customWidth="1"/>
    <col min="15367" max="15367" width="14.140625" style="418" customWidth="1"/>
    <col min="15368" max="15368" width="9.140625" style="418" customWidth="1"/>
    <col min="15369" max="15369" width="14.140625" style="418" customWidth="1"/>
    <col min="15370" max="15370" width="9.140625" style="418" customWidth="1"/>
    <col min="15371" max="15371" width="14.140625" style="418" customWidth="1"/>
    <col min="15372" max="15372" width="9.140625" style="418" customWidth="1"/>
    <col min="15373" max="15373" width="4" style="418" customWidth="1"/>
    <col min="15374" max="15616" width="9.140625" style="418"/>
    <col min="15617" max="15617" width="4.7109375" style="418" customWidth="1"/>
    <col min="15618" max="15618" width="6.7109375" style="418" customWidth="1"/>
    <col min="15619" max="15619" width="5.140625" style="418" customWidth="1"/>
    <col min="15620" max="15620" width="18.42578125" style="418" customWidth="1"/>
    <col min="15621" max="15621" width="14.140625" style="418" customWidth="1"/>
    <col min="15622" max="15622" width="9.140625" style="418" customWidth="1"/>
    <col min="15623" max="15623" width="14.140625" style="418" customWidth="1"/>
    <col min="15624" max="15624" width="9.140625" style="418" customWidth="1"/>
    <col min="15625" max="15625" width="14.140625" style="418" customWidth="1"/>
    <col min="15626" max="15626" width="9.140625" style="418" customWidth="1"/>
    <col min="15627" max="15627" width="14.140625" style="418" customWidth="1"/>
    <col min="15628" max="15628" width="9.140625" style="418" customWidth="1"/>
    <col min="15629" max="15629" width="4" style="418" customWidth="1"/>
    <col min="15630" max="15872" width="9.140625" style="418"/>
    <col min="15873" max="15873" width="4.7109375" style="418" customWidth="1"/>
    <col min="15874" max="15874" width="6.7109375" style="418" customWidth="1"/>
    <col min="15875" max="15875" width="5.140625" style="418" customWidth="1"/>
    <col min="15876" max="15876" width="18.42578125" style="418" customWidth="1"/>
    <col min="15877" max="15877" width="14.140625" style="418" customWidth="1"/>
    <col min="15878" max="15878" width="9.140625" style="418" customWidth="1"/>
    <col min="15879" max="15879" width="14.140625" style="418" customWidth="1"/>
    <col min="15880" max="15880" width="9.140625" style="418" customWidth="1"/>
    <col min="15881" max="15881" width="14.140625" style="418" customWidth="1"/>
    <col min="15882" max="15882" width="9.140625" style="418" customWidth="1"/>
    <col min="15883" max="15883" width="14.140625" style="418" customWidth="1"/>
    <col min="15884" max="15884" width="9.140625" style="418" customWidth="1"/>
    <col min="15885" max="15885" width="4" style="418" customWidth="1"/>
    <col min="15886" max="16128" width="9.140625" style="418"/>
    <col min="16129" max="16129" width="4.7109375" style="418" customWidth="1"/>
    <col min="16130" max="16130" width="6.7109375" style="418" customWidth="1"/>
    <col min="16131" max="16131" width="5.140625" style="418" customWidth="1"/>
    <col min="16132" max="16132" width="18.42578125" style="418" customWidth="1"/>
    <col min="16133" max="16133" width="14.140625" style="418" customWidth="1"/>
    <col min="16134" max="16134" width="9.140625" style="418" customWidth="1"/>
    <col min="16135" max="16135" width="14.140625" style="418" customWidth="1"/>
    <col min="16136" max="16136" width="9.140625" style="418" customWidth="1"/>
    <col min="16137" max="16137" width="14.140625" style="418" customWidth="1"/>
    <col min="16138" max="16138" width="9.140625" style="418" customWidth="1"/>
    <col min="16139" max="16139" width="14.140625" style="418" customWidth="1"/>
    <col min="16140" max="16140" width="9.140625" style="418" customWidth="1"/>
    <col min="16141" max="16141" width="4" style="418" customWidth="1"/>
    <col min="16142" max="16384" width="9.140625" style="418"/>
  </cols>
  <sheetData>
    <row r="1" spans="2:12">
      <c r="C1" s="419"/>
      <c r="D1" s="419"/>
      <c r="E1" s="419"/>
      <c r="F1" s="419"/>
      <c r="G1" s="419"/>
      <c r="H1" s="419"/>
      <c r="I1" s="419"/>
      <c r="J1" s="419"/>
      <c r="K1" s="419"/>
      <c r="L1" s="419"/>
    </row>
    <row r="2" spans="2:12" ht="15.75">
      <c r="B2" s="420" t="s">
        <v>41</v>
      </c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2:12" ht="15.75">
      <c r="B3" s="420" t="s">
        <v>420</v>
      </c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2:12" ht="15.75">
      <c r="B4" s="421" t="s">
        <v>348</v>
      </c>
      <c r="C4" s="422"/>
      <c r="D4" s="422"/>
      <c r="E4" s="422"/>
      <c r="F4" s="422"/>
      <c r="G4" s="422"/>
      <c r="H4" s="422"/>
      <c r="I4" s="422"/>
      <c r="J4" s="422"/>
      <c r="K4" s="422"/>
      <c r="L4" s="422"/>
    </row>
    <row r="5" spans="2:12" ht="14.25">
      <c r="B5" s="423" t="s">
        <v>349</v>
      </c>
      <c r="C5" s="422"/>
      <c r="D5" s="422"/>
      <c r="E5" s="422"/>
      <c r="F5" s="422"/>
      <c r="G5" s="422"/>
      <c r="H5" s="422"/>
      <c r="I5" s="422"/>
      <c r="J5" s="422"/>
      <c r="K5" s="422"/>
      <c r="L5" s="422"/>
    </row>
    <row r="6" spans="2:12" ht="14.25">
      <c r="B6" s="423" t="s">
        <v>350</v>
      </c>
      <c r="C6" s="422"/>
      <c r="D6" s="422"/>
      <c r="E6" s="422"/>
      <c r="F6" s="422"/>
      <c r="G6" s="422"/>
      <c r="H6" s="422"/>
      <c r="I6" s="422"/>
      <c r="J6" s="422"/>
      <c r="K6" s="422"/>
      <c r="L6" s="422"/>
    </row>
    <row r="9" spans="2:12" ht="9" customHeight="1" thickBot="1"/>
    <row r="10" spans="2:12">
      <c r="B10" s="424"/>
      <c r="C10" s="425"/>
      <c r="D10" s="426"/>
      <c r="E10" s="425"/>
      <c r="F10" s="425"/>
      <c r="G10" s="425"/>
      <c r="H10" s="425"/>
      <c r="I10" s="425"/>
      <c r="J10" s="425"/>
      <c r="K10" s="425"/>
      <c r="L10" s="427"/>
    </row>
    <row r="11" spans="2:12" ht="14.25">
      <c r="B11" s="428"/>
      <c r="C11" s="419"/>
      <c r="D11" s="429"/>
      <c r="E11" s="430" t="s">
        <v>351</v>
      </c>
      <c r="F11" s="431"/>
      <c r="G11" s="431"/>
      <c r="H11" s="431"/>
      <c r="I11" s="431"/>
      <c r="J11" s="431"/>
      <c r="K11" s="431"/>
      <c r="L11" s="432"/>
    </row>
    <row r="12" spans="2:12" ht="13.5" thickBot="1">
      <c r="B12" s="428"/>
      <c r="C12" s="419"/>
      <c r="D12" s="429"/>
      <c r="E12" s="433"/>
      <c r="F12" s="433"/>
      <c r="G12" s="433"/>
      <c r="H12" s="433"/>
      <c r="I12" s="433"/>
      <c r="J12" s="433"/>
      <c r="K12" s="433"/>
      <c r="L12" s="434"/>
    </row>
    <row r="13" spans="2:12" ht="16.5" thickTop="1">
      <c r="B13" s="428"/>
      <c r="C13" s="419"/>
      <c r="D13" s="429"/>
      <c r="E13" s="609" t="s">
        <v>352</v>
      </c>
      <c r="F13" s="610"/>
      <c r="G13" s="609" t="s">
        <v>353</v>
      </c>
      <c r="H13" s="610"/>
      <c r="I13" s="609" t="s">
        <v>354</v>
      </c>
      <c r="J13" s="610"/>
      <c r="K13" s="611" t="s">
        <v>355</v>
      </c>
      <c r="L13" s="612"/>
    </row>
    <row r="14" spans="2:12" ht="15.75">
      <c r="B14" s="428"/>
      <c r="C14" s="419"/>
      <c r="D14" s="429"/>
      <c r="E14" s="435" t="s">
        <v>356</v>
      </c>
      <c r="F14" s="436" t="s">
        <v>357</v>
      </c>
      <c r="G14" s="435" t="s">
        <v>358</v>
      </c>
      <c r="H14" s="436" t="s">
        <v>357</v>
      </c>
      <c r="I14" s="435" t="s">
        <v>358</v>
      </c>
      <c r="J14" s="436" t="s">
        <v>357</v>
      </c>
      <c r="K14" s="437" t="s">
        <v>358</v>
      </c>
      <c r="L14" s="438" t="s">
        <v>357</v>
      </c>
    </row>
    <row r="15" spans="2:12" ht="13.5" thickBot="1">
      <c r="B15" s="439" t="s">
        <v>2</v>
      </c>
      <c r="C15" s="440"/>
      <c r="D15" s="441"/>
      <c r="E15" s="442" t="s">
        <v>359</v>
      </c>
      <c r="F15" s="443" t="s">
        <v>360</v>
      </c>
      <c r="G15" s="442" t="s">
        <v>359</v>
      </c>
      <c r="H15" s="443" t="s">
        <v>360</v>
      </c>
      <c r="I15" s="442" t="s">
        <v>359</v>
      </c>
      <c r="J15" s="443" t="s">
        <v>360</v>
      </c>
      <c r="K15" s="444" t="s">
        <v>359</v>
      </c>
      <c r="L15" s="445" t="s">
        <v>360</v>
      </c>
    </row>
    <row r="16" spans="2:12">
      <c r="B16" s="428"/>
      <c r="C16" s="419"/>
      <c r="D16" s="429"/>
      <c r="E16" s="446"/>
      <c r="F16" s="429"/>
      <c r="G16" s="446"/>
      <c r="H16" s="429"/>
      <c r="I16" s="446"/>
      <c r="J16" s="429"/>
      <c r="K16" s="419"/>
      <c r="L16" s="447"/>
    </row>
    <row r="17" spans="2:12">
      <c r="B17" s="428"/>
      <c r="C17" s="448" t="s">
        <v>361</v>
      </c>
      <c r="D17" s="429"/>
      <c r="E17" s="446"/>
      <c r="F17" s="429"/>
      <c r="G17" s="446"/>
      <c r="H17" s="429"/>
      <c r="I17" s="446"/>
      <c r="J17" s="429"/>
      <c r="K17" s="419"/>
      <c r="L17" s="447"/>
    </row>
    <row r="18" spans="2:12">
      <c r="B18" s="428"/>
      <c r="C18" s="419"/>
      <c r="D18" s="429" t="s">
        <v>25</v>
      </c>
      <c r="E18" s="449">
        <v>0.29499999999999998</v>
      </c>
      <c r="F18" s="436">
        <v>0.31</v>
      </c>
      <c r="G18" s="450">
        <v>1.0580000000000001</v>
      </c>
      <c r="H18" s="451">
        <v>0.38</v>
      </c>
      <c r="I18" s="450">
        <v>1.42</v>
      </c>
      <c r="J18" s="436">
        <v>0.99</v>
      </c>
      <c r="K18" s="452">
        <v>0.223</v>
      </c>
      <c r="L18" s="438">
        <v>0.33</v>
      </c>
    </row>
    <row r="19" spans="2:12">
      <c r="B19" s="428"/>
      <c r="C19" s="419"/>
      <c r="D19" s="429" t="s">
        <v>362</v>
      </c>
      <c r="E19" s="449">
        <v>7.0000000000000007E-2</v>
      </c>
      <c r="F19" s="436">
        <v>0.31</v>
      </c>
      <c r="G19" s="450">
        <v>5.8000000000000003E-2</v>
      </c>
      <c r="H19" s="451">
        <v>0.43</v>
      </c>
      <c r="I19" s="450">
        <v>1.34E-2</v>
      </c>
      <c r="J19" s="436">
        <v>0.99</v>
      </c>
      <c r="K19" s="452">
        <v>0.223</v>
      </c>
      <c r="L19" s="438">
        <v>0.33</v>
      </c>
    </row>
    <row r="20" spans="2:12">
      <c r="B20" s="428"/>
      <c r="C20" s="419"/>
      <c r="D20" s="429" t="s">
        <v>113</v>
      </c>
      <c r="E20" s="449">
        <v>2.1429999999999998</v>
      </c>
      <c r="F20" s="436">
        <v>0.31</v>
      </c>
      <c r="G20" s="450">
        <v>10.794</v>
      </c>
      <c r="H20" s="451">
        <v>0.2</v>
      </c>
      <c r="I20" s="450">
        <v>33.6</v>
      </c>
      <c r="J20" s="436">
        <v>0.99</v>
      </c>
      <c r="K20" s="452">
        <v>0.223</v>
      </c>
      <c r="L20" s="438">
        <v>0.33</v>
      </c>
    </row>
    <row r="21" spans="2:12">
      <c r="B21" s="428"/>
      <c r="C21" s="419"/>
      <c r="D21" s="429" t="s">
        <v>114</v>
      </c>
      <c r="E21" s="449">
        <v>1.123</v>
      </c>
      <c r="F21" s="436">
        <v>0.31</v>
      </c>
      <c r="G21" s="450">
        <v>3.3</v>
      </c>
      <c r="H21" s="451">
        <v>0.79</v>
      </c>
      <c r="I21" s="450">
        <v>6</v>
      </c>
      <c r="J21" s="436">
        <v>0.99</v>
      </c>
      <c r="K21" s="452">
        <v>0.223</v>
      </c>
      <c r="L21" s="438">
        <v>0.33</v>
      </c>
    </row>
    <row r="22" spans="2:12">
      <c r="B22" s="428"/>
      <c r="C22" s="419"/>
      <c r="D22" s="429" t="s">
        <v>363</v>
      </c>
      <c r="E22" s="449">
        <v>6.67</v>
      </c>
      <c r="F22" s="436">
        <v>0.31</v>
      </c>
      <c r="G22" s="450">
        <v>9.9469999999999992</v>
      </c>
      <c r="H22" s="451">
        <v>7.0000000000000007E-2</v>
      </c>
      <c r="I22" s="450">
        <v>8.64</v>
      </c>
      <c r="J22" s="436">
        <v>0.99</v>
      </c>
      <c r="K22" s="452">
        <v>0.223</v>
      </c>
      <c r="L22" s="438">
        <v>0.33</v>
      </c>
    </row>
    <row r="23" spans="2:12">
      <c r="B23" s="453"/>
      <c r="C23" s="454"/>
      <c r="D23" s="455"/>
      <c r="E23" s="456"/>
      <c r="F23" s="457"/>
      <c r="G23" s="458"/>
      <c r="H23" s="459"/>
      <c r="I23" s="458"/>
      <c r="J23" s="457"/>
      <c r="K23" s="460"/>
      <c r="L23" s="461"/>
    </row>
    <row r="24" spans="2:12">
      <c r="B24" s="428"/>
      <c r="C24" s="419"/>
      <c r="D24" s="429"/>
      <c r="E24" s="450"/>
      <c r="F24" s="436"/>
      <c r="G24" s="450"/>
      <c r="H24" s="451"/>
      <c r="I24" s="450"/>
      <c r="J24" s="436"/>
      <c r="K24" s="452"/>
      <c r="L24" s="438"/>
    </row>
    <row r="25" spans="2:12" ht="15.75">
      <c r="B25" s="428"/>
      <c r="C25" s="448" t="s">
        <v>364</v>
      </c>
      <c r="D25" s="429"/>
      <c r="E25" s="450"/>
      <c r="F25" s="436"/>
      <c r="G25" s="450"/>
      <c r="H25" s="451"/>
      <c r="I25" s="450"/>
      <c r="J25" s="436"/>
      <c r="K25" s="452"/>
      <c r="L25" s="438"/>
    </row>
    <row r="26" spans="2:12">
      <c r="B26" s="428"/>
      <c r="C26" s="419"/>
      <c r="D26" s="429" t="s">
        <v>25</v>
      </c>
      <c r="E26" s="450">
        <v>4.1000000000000003E-3</v>
      </c>
      <c r="F26" s="436">
        <v>0.56000000000000005</v>
      </c>
      <c r="G26" s="450">
        <v>0.43059999999999998</v>
      </c>
      <c r="H26" s="451">
        <v>0.33</v>
      </c>
      <c r="I26" s="450">
        <v>1.2E-2</v>
      </c>
      <c r="J26" s="436">
        <v>0.99</v>
      </c>
      <c r="K26" s="452">
        <v>1.3299999999999999E-2</v>
      </c>
      <c r="L26" s="438">
        <v>0.33</v>
      </c>
    </row>
    <row r="27" spans="2:12">
      <c r="B27" s="428"/>
      <c r="C27" s="419"/>
      <c r="D27" s="429" t="s">
        <v>362</v>
      </c>
      <c r="E27" s="450">
        <v>2E-3</v>
      </c>
      <c r="F27" s="436">
        <v>0.56000000000000005</v>
      </c>
      <c r="G27" s="450">
        <v>6.9400000000000003E-2</v>
      </c>
      <c r="H27" s="451">
        <v>0.33</v>
      </c>
      <c r="I27" s="450">
        <v>1.34E-2</v>
      </c>
      <c r="J27" s="436">
        <v>0.99</v>
      </c>
      <c r="K27" s="452">
        <v>1.3299999999999999E-2</v>
      </c>
      <c r="L27" s="438">
        <v>0.33</v>
      </c>
    </row>
    <row r="28" spans="2:12">
      <c r="B28" s="428"/>
      <c r="C28" s="419"/>
      <c r="D28" s="429" t="s">
        <v>114</v>
      </c>
      <c r="E28" s="450">
        <v>3.8999999999999998E-3</v>
      </c>
      <c r="F28" s="436">
        <v>0.56000000000000005</v>
      </c>
      <c r="G28" s="450">
        <v>1.3080000000000001</v>
      </c>
      <c r="H28" s="451">
        <v>0.33</v>
      </c>
      <c r="I28" s="450">
        <v>1.1040000000000001</v>
      </c>
      <c r="J28" s="436">
        <v>0.99</v>
      </c>
      <c r="K28" s="452">
        <v>1.3299999999999999E-2</v>
      </c>
      <c r="L28" s="438">
        <v>0.33</v>
      </c>
    </row>
    <row r="29" spans="2:12">
      <c r="B29" s="428"/>
      <c r="C29" s="419"/>
      <c r="D29" s="429" t="s">
        <v>363</v>
      </c>
      <c r="E29" s="450">
        <v>0.26700000000000002</v>
      </c>
      <c r="F29" s="436">
        <v>0.56000000000000005</v>
      </c>
      <c r="G29" s="450">
        <v>1.74</v>
      </c>
      <c r="H29" s="451">
        <v>0.33</v>
      </c>
      <c r="I29" s="450">
        <v>0</v>
      </c>
      <c r="J29" s="436">
        <v>0.99</v>
      </c>
      <c r="K29" s="452">
        <v>1.3299999999999999E-2</v>
      </c>
      <c r="L29" s="438">
        <v>0.33</v>
      </c>
    </row>
    <row r="30" spans="2:12" ht="11.25" customHeight="1" thickBot="1">
      <c r="B30" s="462"/>
      <c r="C30" s="440"/>
      <c r="D30" s="441"/>
      <c r="E30" s="463"/>
      <c r="F30" s="441"/>
      <c r="G30" s="463"/>
      <c r="H30" s="441"/>
      <c r="I30" s="463"/>
      <c r="J30" s="441"/>
      <c r="K30" s="440"/>
      <c r="L30" s="464"/>
    </row>
    <row r="31" spans="2:12" ht="6.75" customHeight="1"/>
    <row r="34" spans="3:12">
      <c r="C34" s="465" t="s">
        <v>365</v>
      </c>
    </row>
    <row r="36" spans="3:12">
      <c r="C36" s="466" t="s">
        <v>366</v>
      </c>
      <c r="D36" s="613" t="s">
        <v>367</v>
      </c>
      <c r="E36" s="613"/>
      <c r="F36" s="613"/>
      <c r="G36" s="613"/>
      <c r="H36" s="613"/>
      <c r="I36" s="613"/>
      <c r="J36" s="613"/>
      <c r="K36" s="613"/>
      <c r="L36" s="613"/>
    </row>
    <row r="37" spans="3:12">
      <c r="C37" s="467"/>
      <c r="D37" s="607"/>
      <c r="E37" s="607"/>
      <c r="F37" s="607"/>
      <c r="G37" s="607"/>
      <c r="H37" s="607"/>
      <c r="I37" s="607"/>
      <c r="J37" s="607"/>
      <c r="K37" s="607"/>
      <c r="L37" s="607"/>
    </row>
    <row r="38" spans="3:12">
      <c r="C38" s="467"/>
      <c r="D38" s="467"/>
    </row>
    <row r="39" spans="3:12">
      <c r="C39" s="466" t="s">
        <v>368</v>
      </c>
      <c r="D39" s="613" t="s">
        <v>369</v>
      </c>
      <c r="E39" s="613"/>
      <c r="F39" s="613"/>
      <c r="G39" s="613"/>
      <c r="H39" s="613"/>
      <c r="I39" s="613"/>
      <c r="J39" s="613"/>
      <c r="K39" s="613"/>
      <c r="L39" s="613"/>
    </row>
    <row r="40" spans="3:12">
      <c r="C40" s="467"/>
      <c r="D40" s="614"/>
      <c r="E40" s="614"/>
      <c r="F40" s="614"/>
      <c r="G40" s="614"/>
      <c r="H40" s="614"/>
      <c r="I40" s="614"/>
      <c r="J40" s="614"/>
      <c r="K40" s="614"/>
      <c r="L40" s="614"/>
    </row>
    <row r="41" spans="3:12">
      <c r="C41" s="467"/>
      <c r="D41" s="467"/>
    </row>
    <row r="42" spans="3:12">
      <c r="C42" s="466" t="s">
        <v>370</v>
      </c>
      <c r="D42" s="606" t="s">
        <v>371</v>
      </c>
      <c r="E42" s="607"/>
      <c r="F42" s="607"/>
      <c r="G42" s="607"/>
      <c r="H42" s="607"/>
      <c r="I42" s="607"/>
      <c r="J42" s="607"/>
      <c r="K42" s="607"/>
      <c r="L42" s="607"/>
    </row>
    <row r="43" spans="3:12">
      <c r="C43" s="466"/>
      <c r="D43" s="607"/>
      <c r="E43" s="607"/>
      <c r="F43" s="607"/>
      <c r="G43" s="607"/>
      <c r="H43" s="607"/>
      <c r="I43" s="607"/>
      <c r="J43" s="607"/>
      <c r="K43" s="607"/>
      <c r="L43" s="607"/>
    </row>
    <row r="44" spans="3:12">
      <c r="C44" s="467"/>
      <c r="D44" s="467"/>
    </row>
    <row r="45" spans="3:12">
      <c r="C45" s="466" t="s">
        <v>372</v>
      </c>
      <c r="D45" s="606" t="s">
        <v>373</v>
      </c>
      <c r="E45" s="607"/>
      <c r="F45" s="607"/>
      <c r="G45" s="607"/>
      <c r="H45" s="607"/>
      <c r="I45" s="607"/>
      <c r="J45" s="607"/>
      <c r="K45" s="607"/>
      <c r="L45" s="607"/>
    </row>
    <row r="46" spans="3:12">
      <c r="C46" s="467"/>
      <c r="D46" s="607"/>
      <c r="E46" s="607"/>
      <c r="F46" s="607"/>
      <c r="G46" s="607"/>
      <c r="H46" s="607"/>
      <c r="I46" s="607"/>
      <c r="J46" s="607"/>
      <c r="K46" s="607"/>
      <c r="L46" s="607"/>
    </row>
    <row r="47" spans="3:12">
      <c r="C47" s="467"/>
      <c r="D47" s="467"/>
    </row>
    <row r="48" spans="3:12">
      <c r="C48" s="466" t="s">
        <v>374</v>
      </c>
      <c r="D48" s="467" t="s">
        <v>375</v>
      </c>
    </row>
    <row r="49" spans="2:12">
      <c r="D49" s="467" t="s">
        <v>376</v>
      </c>
    </row>
    <row r="50" spans="2:12">
      <c r="D50" s="467" t="s">
        <v>377</v>
      </c>
    </row>
    <row r="51" spans="2:12">
      <c r="D51" s="467"/>
    </row>
    <row r="52" spans="2:12">
      <c r="C52" s="466" t="s">
        <v>378</v>
      </c>
      <c r="D52" s="608" t="s">
        <v>379</v>
      </c>
      <c r="E52" s="608"/>
      <c r="F52" s="608"/>
      <c r="G52" s="608"/>
      <c r="H52" s="608"/>
      <c r="I52" s="608"/>
      <c r="J52" s="608"/>
      <c r="K52" s="608"/>
      <c r="L52" s="608"/>
    </row>
    <row r="53" spans="2:12">
      <c r="C53" s="467"/>
      <c r="D53" s="467"/>
    </row>
    <row r="55" spans="2:12">
      <c r="B55" s="468"/>
    </row>
  </sheetData>
  <mergeCells count="9">
    <mergeCell ref="D42:L43"/>
    <mergeCell ref="D45:L46"/>
    <mergeCell ref="D52:L52"/>
    <mergeCell ref="E13:F13"/>
    <mergeCell ref="G13:H13"/>
    <mergeCell ref="I13:J13"/>
    <mergeCell ref="K13:L13"/>
    <mergeCell ref="D36:L37"/>
    <mergeCell ref="D39:L40"/>
  </mergeCells>
  <printOptions horizontalCentered="1"/>
  <pageMargins left="0.75" right="0.75" top="1" bottom="1" header="0.5" footer="0.5"/>
  <pageSetup scale="7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9"/>
  <sheetViews>
    <sheetView showGridLines="0" zoomScaleNormal="75" workbookViewId="0">
      <selection activeCell="O12" sqref="O12"/>
    </sheetView>
  </sheetViews>
  <sheetFormatPr defaultColWidth="9.140625" defaultRowHeight="12.75"/>
  <cols>
    <col min="1" max="1" width="3.42578125" style="472" customWidth="1"/>
    <col min="2" max="2" width="5.7109375" style="472" customWidth="1"/>
    <col min="3" max="3" width="45" style="472" customWidth="1"/>
    <col min="4" max="4" width="6.85546875" style="472" customWidth="1"/>
    <col min="5" max="5" width="11" style="472" customWidth="1"/>
    <col min="6" max="7" width="12" style="472" bestFit="1" customWidth="1"/>
    <col min="8" max="9" width="10.85546875" style="472" bestFit="1" customWidth="1"/>
    <col min="10" max="10" width="10.5703125" style="493" bestFit="1" customWidth="1"/>
    <col min="11" max="11" width="4.5703125" style="473" customWidth="1"/>
    <col min="12" max="12" width="9.140625" style="473" customWidth="1"/>
    <col min="13" max="256" width="9.140625" style="472"/>
    <col min="257" max="257" width="3.42578125" style="472" customWidth="1"/>
    <col min="258" max="258" width="5.7109375" style="472" customWidth="1"/>
    <col min="259" max="259" width="45" style="472" customWidth="1"/>
    <col min="260" max="260" width="6.85546875" style="472" customWidth="1"/>
    <col min="261" max="261" width="11" style="472" customWidth="1"/>
    <col min="262" max="263" width="12" style="472" bestFit="1" customWidth="1"/>
    <col min="264" max="265" width="10.85546875" style="472" bestFit="1" customWidth="1"/>
    <col min="266" max="266" width="10.5703125" style="472" bestFit="1" customWidth="1"/>
    <col min="267" max="267" width="4.5703125" style="472" customWidth="1"/>
    <col min="268" max="268" width="9.140625" style="472" customWidth="1"/>
    <col min="269" max="512" width="9.140625" style="472"/>
    <col min="513" max="513" width="3.42578125" style="472" customWidth="1"/>
    <col min="514" max="514" width="5.7109375" style="472" customWidth="1"/>
    <col min="515" max="515" width="45" style="472" customWidth="1"/>
    <col min="516" max="516" width="6.85546875" style="472" customWidth="1"/>
    <col min="517" max="517" width="11" style="472" customWidth="1"/>
    <col min="518" max="519" width="12" style="472" bestFit="1" customWidth="1"/>
    <col min="520" max="521" width="10.85546875" style="472" bestFit="1" customWidth="1"/>
    <col min="522" max="522" width="10.5703125" style="472" bestFit="1" customWidth="1"/>
    <col min="523" max="523" width="4.5703125" style="472" customWidth="1"/>
    <col min="524" max="524" width="9.140625" style="472" customWidth="1"/>
    <col min="525" max="768" width="9.140625" style="472"/>
    <col min="769" max="769" width="3.42578125" style="472" customWidth="1"/>
    <col min="770" max="770" width="5.7109375" style="472" customWidth="1"/>
    <col min="771" max="771" width="45" style="472" customWidth="1"/>
    <col min="772" max="772" width="6.85546875" style="472" customWidth="1"/>
    <col min="773" max="773" width="11" style="472" customWidth="1"/>
    <col min="774" max="775" width="12" style="472" bestFit="1" customWidth="1"/>
    <col min="776" max="777" width="10.85546875" style="472" bestFit="1" customWidth="1"/>
    <col min="778" max="778" width="10.5703125" style="472" bestFit="1" customWidth="1"/>
    <col min="779" max="779" width="4.5703125" style="472" customWidth="1"/>
    <col min="780" max="780" width="9.140625" style="472" customWidth="1"/>
    <col min="781" max="1024" width="9.140625" style="472"/>
    <col min="1025" max="1025" width="3.42578125" style="472" customWidth="1"/>
    <col min="1026" max="1026" width="5.7109375" style="472" customWidth="1"/>
    <col min="1027" max="1027" width="45" style="472" customWidth="1"/>
    <col min="1028" max="1028" width="6.85546875" style="472" customWidth="1"/>
    <col min="1029" max="1029" width="11" style="472" customWidth="1"/>
    <col min="1030" max="1031" width="12" style="472" bestFit="1" customWidth="1"/>
    <col min="1032" max="1033" width="10.85546875" style="472" bestFit="1" customWidth="1"/>
    <col min="1034" max="1034" width="10.5703125" style="472" bestFit="1" customWidth="1"/>
    <col min="1035" max="1035" width="4.5703125" style="472" customWidth="1"/>
    <col min="1036" max="1036" width="9.140625" style="472" customWidth="1"/>
    <col min="1037" max="1280" width="9.140625" style="472"/>
    <col min="1281" max="1281" width="3.42578125" style="472" customWidth="1"/>
    <col min="1282" max="1282" width="5.7109375" style="472" customWidth="1"/>
    <col min="1283" max="1283" width="45" style="472" customWidth="1"/>
    <col min="1284" max="1284" width="6.85546875" style="472" customWidth="1"/>
    <col min="1285" max="1285" width="11" style="472" customWidth="1"/>
    <col min="1286" max="1287" width="12" style="472" bestFit="1" customWidth="1"/>
    <col min="1288" max="1289" width="10.85546875" style="472" bestFit="1" customWidth="1"/>
    <col min="1290" max="1290" width="10.5703125" style="472" bestFit="1" customWidth="1"/>
    <col min="1291" max="1291" width="4.5703125" style="472" customWidth="1"/>
    <col min="1292" max="1292" width="9.140625" style="472" customWidth="1"/>
    <col min="1293" max="1536" width="9.140625" style="472"/>
    <col min="1537" max="1537" width="3.42578125" style="472" customWidth="1"/>
    <col min="1538" max="1538" width="5.7109375" style="472" customWidth="1"/>
    <col min="1539" max="1539" width="45" style="472" customWidth="1"/>
    <col min="1540" max="1540" width="6.85546875" style="472" customWidth="1"/>
    <col min="1541" max="1541" width="11" style="472" customWidth="1"/>
    <col min="1542" max="1543" width="12" style="472" bestFit="1" customWidth="1"/>
    <col min="1544" max="1545" width="10.85546875" style="472" bestFit="1" customWidth="1"/>
    <col min="1546" max="1546" width="10.5703125" style="472" bestFit="1" customWidth="1"/>
    <col min="1547" max="1547" width="4.5703125" style="472" customWidth="1"/>
    <col min="1548" max="1548" width="9.140625" style="472" customWidth="1"/>
    <col min="1549" max="1792" width="9.140625" style="472"/>
    <col min="1793" max="1793" width="3.42578125" style="472" customWidth="1"/>
    <col min="1794" max="1794" width="5.7109375" style="472" customWidth="1"/>
    <col min="1795" max="1795" width="45" style="472" customWidth="1"/>
    <col min="1796" max="1796" width="6.85546875" style="472" customWidth="1"/>
    <col min="1797" max="1797" width="11" style="472" customWidth="1"/>
    <col min="1798" max="1799" width="12" style="472" bestFit="1" customWidth="1"/>
    <col min="1800" max="1801" width="10.85546875" style="472" bestFit="1" customWidth="1"/>
    <col min="1802" max="1802" width="10.5703125" style="472" bestFit="1" customWidth="1"/>
    <col min="1803" max="1803" width="4.5703125" style="472" customWidth="1"/>
    <col min="1804" max="1804" width="9.140625" style="472" customWidth="1"/>
    <col min="1805" max="2048" width="9.140625" style="472"/>
    <col min="2049" max="2049" width="3.42578125" style="472" customWidth="1"/>
    <col min="2050" max="2050" width="5.7109375" style="472" customWidth="1"/>
    <col min="2051" max="2051" width="45" style="472" customWidth="1"/>
    <col min="2052" max="2052" width="6.85546875" style="472" customWidth="1"/>
    <col min="2053" max="2053" width="11" style="472" customWidth="1"/>
    <col min="2054" max="2055" width="12" style="472" bestFit="1" customWidth="1"/>
    <col min="2056" max="2057" width="10.85546875" style="472" bestFit="1" customWidth="1"/>
    <col min="2058" max="2058" width="10.5703125" style="472" bestFit="1" customWidth="1"/>
    <col min="2059" max="2059" width="4.5703125" style="472" customWidth="1"/>
    <col min="2060" max="2060" width="9.140625" style="472" customWidth="1"/>
    <col min="2061" max="2304" width="9.140625" style="472"/>
    <col min="2305" max="2305" width="3.42578125" style="472" customWidth="1"/>
    <col min="2306" max="2306" width="5.7109375" style="472" customWidth="1"/>
    <col min="2307" max="2307" width="45" style="472" customWidth="1"/>
    <col min="2308" max="2308" width="6.85546875" style="472" customWidth="1"/>
    <col min="2309" max="2309" width="11" style="472" customWidth="1"/>
    <col min="2310" max="2311" width="12" style="472" bestFit="1" customWidth="1"/>
    <col min="2312" max="2313" width="10.85546875" style="472" bestFit="1" customWidth="1"/>
    <col min="2314" max="2314" width="10.5703125" style="472" bestFit="1" customWidth="1"/>
    <col min="2315" max="2315" width="4.5703125" style="472" customWidth="1"/>
    <col min="2316" max="2316" width="9.140625" style="472" customWidth="1"/>
    <col min="2317" max="2560" width="9.140625" style="472"/>
    <col min="2561" max="2561" width="3.42578125" style="472" customWidth="1"/>
    <col min="2562" max="2562" width="5.7109375" style="472" customWidth="1"/>
    <col min="2563" max="2563" width="45" style="472" customWidth="1"/>
    <col min="2564" max="2564" width="6.85546875" style="472" customWidth="1"/>
    <col min="2565" max="2565" width="11" style="472" customWidth="1"/>
    <col min="2566" max="2567" width="12" style="472" bestFit="1" customWidth="1"/>
    <col min="2568" max="2569" width="10.85546875" style="472" bestFit="1" customWidth="1"/>
    <col min="2570" max="2570" width="10.5703125" style="472" bestFit="1" customWidth="1"/>
    <col min="2571" max="2571" width="4.5703125" style="472" customWidth="1"/>
    <col min="2572" max="2572" width="9.140625" style="472" customWidth="1"/>
    <col min="2573" max="2816" width="9.140625" style="472"/>
    <col min="2817" max="2817" width="3.42578125" style="472" customWidth="1"/>
    <col min="2818" max="2818" width="5.7109375" style="472" customWidth="1"/>
    <col min="2819" max="2819" width="45" style="472" customWidth="1"/>
    <col min="2820" max="2820" width="6.85546875" style="472" customWidth="1"/>
    <col min="2821" max="2821" width="11" style="472" customWidth="1"/>
    <col min="2822" max="2823" width="12" style="472" bestFit="1" customWidth="1"/>
    <col min="2824" max="2825" width="10.85546875" style="472" bestFit="1" customWidth="1"/>
    <col min="2826" max="2826" width="10.5703125" style="472" bestFit="1" customWidth="1"/>
    <col min="2827" max="2827" width="4.5703125" style="472" customWidth="1"/>
    <col min="2828" max="2828" width="9.140625" style="472" customWidth="1"/>
    <col min="2829" max="3072" width="9.140625" style="472"/>
    <col min="3073" max="3073" width="3.42578125" style="472" customWidth="1"/>
    <col min="3074" max="3074" width="5.7109375" style="472" customWidth="1"/>
    <col min="3075" max="3075" width="45" style="472" customWidth="1"/>
    <col min="3076" max="3076" width="6.85546875" style="472" customWidth="1"/>
    <col min="3077" max="3077" width="11" style="472" customWidth="1"/>
    <col min="3078" max="3079" width="12" style="472" bestFit="1" customWidth="1"/>
    <col min="3080" max="3081" width="10.85546875" style="472" bestFit="1" customWidth="1"/>
    <col min="3082" max="3082" width="10.5703125" style="472" bestFit="1" customWidth="1"/>
    <col min="3083" max="3083" width="4.5703125" style="472" customWidth="1"/>
    <col min="3084" max="3084" width="9.140625" style="472" customWidth="1"/>
    <col min="3085" max="3328" width="9.140625" style="472"/>
    <col min="3329" max="3329" width="3.42578125" style="472" customWidth="1"/>
    <col min="3330" max="3330" width="5.7109375" style="472" customWidth="1"/>
    <col min="3331" max="3331" width="45" style="472" customWidth="1"/>
    <col min="3332" max="3332" width="6.85546875" style="472" customWidth="1"/>
    <col min="3333" max="3333" width="11" style="472" customWidth="1"/>
    <col min="3334" max="3335" width="12" style="472" bestFit="1" customWidth="1"/>
    <col min="3336" max="3337" width="10.85546875" style="472" bestFit="1" customWidth="1"/>
    <col min="3338" max="3338" width="10.5703125" style="472" bestFit="1" customWidth="1"/>
    <col min="3339" max="3339" width="4.5703125" style="472" customWidth="1"/>
    <col min="3340" max="3340" width="9.140625" style="472" customWidth="1"/>
    <col min="3341" max="3584" width="9.140625" style="472"/>
    <col min="3585" max="3585" width="3.42578125" style="472" customWidth="1"/>
    <col min="3586" max="3586" width="5.7109375" style="472" customWidth="1"/>
    <col min="3587" max="3587" width="45" style="472" customWidth="1"/>
    <col min="3588" max="3588" width="6.85546875" style="472" customWidth="1"/>
    <col min="3589" max="3589" width="11" style="472" customWidth="1"/>
    <col min="3590" max="3591" width="12" style="472" bestFit="1" customWidth="1"/>
    <col min="3592" max="3593" width="10.85546875" style="472" bestFit="1" customWidth="1"/>
    <col min="3594" max="3594" width="10.5703125" style="472" bestFit="1" customWidth="1"/>
    <col min="3595" max="3595" width="4.5703125" style="472" customWidth="1"/>
    <col min="3596" max="3596" width="9.140625" style="472" customWidth="1"/>
    <col min="3597" max="3840" width="9.140625" style="472"/>
    <col min="3841" max="3841" width="3.42578125" style="472" customWidth="1"/>
    <col min="3842" max="3842" width="5.7109375" style="472" customWidth="1"/>
    <col min="3843" max="3843" width="45" style="472" customWidth="1"/>
    <col min="3844" max="3844" width="6.85546875" style="472" customWidth="1"/>
    <col min="3845" max="3845" width="11" style="472" customWidth="1"/>
    <col min="3846" max="3847" width="12" style="472" bestFit="1" customWidth="1"/>
    <col min="3848" max="3849" width="10.85546875" style="472" bestFit="1" customWidth="1"/>
    <col min="3850" max="3850" width="10.5703125" style="472" bestFit="1" customWidth="1"/>
    <col min="3851" max="3851" width="4.5703125" style="472" customWidth="1"/>
    <col min="3852" max="3852" width="9.140625" style="472" customWidth="1"/>
    <col min="3853" max="4096" width="9.140625" style="472"/>
    <col min="4097" max="4097" width="3.42578125" style="472" customWidth="1"/>
    <col min="4098" max="4098" width="5.7109375" style="472" customWidth="1"/>
    <col min="4099" max="4099" width="45" style="472" customWidth="1"/>
    <col min="4100" max="4100" width="6.85546875" style="472" customWidth="1"/>
    <col min="4101" max="4101" width="11" style="472" customWidth="1"/>
    <col min="4102" max="4103" width="12" style="472" bestFit="1" customWidth="1"/>
    <col min="4104" max="4105" width="10.85546875" style="472" bestFit="1" customWidth="1"/>
    <col min="4106" max="4106" width="10.5703125" style="472" bestFit="1" customWidth="1"/>
    <col min="4107" max="4107" width="4.5703125" style="472" customWidth="1"/>
    <col min="4108" max="4108" width="9.140625" style="472" customWidth="1"/>
    <col min="4109" max="4352" width="9.140625" style="472"/>
    <col min="4353" max="4353" width="3.42578125" style="472" customWidth="1"/>
    <col min="4354" max="4354" width="5.7109375" style="472" customWidth="1"/>
    <col min="4355" max="4355" width="45" style="472" customWidth="1"/>
    <col min="4356" max="4356" width="6.85546875" style="472" customWidth="1"/>
    <col min="4357" max="4357" width="11" style="472" customWidth="1"/>
    <col min="4358" max="4359" width="12" style="472" bestFit="1" customWidth="1"/>
    <col min="4360" max="4361" width="10.85546875" style="472" bestFit="1" customWidth="1"/>
    <col min="4362" max="4362" width="10.5703125" style="472" bestFit="1" customWidth="1"/>
    <col min="4363" max="4363" width="4.5703125" style="472" customWidth="1"/>
    <col min="4364" max="4364" width="9.140625" style="472" customWidth="1"/>
    <col min="4365" max="4608" width="9.140625" style="472"/>
    <col min="4609" max="4609" width="3.42578125" style="472" customWidth="1"/>
    <col min="4610" max="4610" width="5.7109375" style="472" customWidth="1"/>
    <col min="4611" max="4611" width="45" style="472" customWidth="1"/>
    <col min="4612" max="4612" width="6.85546875" style="472" customWidth="1"/>
    <col min="4613" max="4613" width="11" style="472" customWidth="1"/>
    <col min="4614" max="4615" width="12" style="472" bestFit="1" customWidth="1"/>
    <col min="4616" max="4617" width="10.85546875" style="472" bestFit="1" customWidth="1"/>
    <col min="4618" max="4618" width="10.5703125" style="472" bestFit="1" customWidth="1"/>
    <col min="4619" max="4619" width="4.5703125" style="472" customWidth="1"/>
    <col min="4620" max="4620" width="9.140625" style="472" customWidth="1"/>
    <col min="4621" max="4864" width="9.140625" style="472"/>
    <col min="4865" max="4865" width="3.42578125" style="472" customWidth="1"/>
    <col min="4866" max="4866" width="5.7109375" style="472" customWidth="1"/>
    <col min="4867" max="4867" width="45" style="472" customWidth="1"/>
    <col min="4868" max="4868" width="6.85546875" style="472" customWidth="1"/>
    <col min="4869" max="4869" width="11" style="472" customWidth="1"/>
    <col min="4870" max="4871" width="12" style="472" bestFit="1" customWidth="1"/>
    <col min="4872" max="4873" width="10.85546875" style="472" bestFit="1" customWidth="1"/>
    <col min="4874" max="4874" width="10.5703125" style="472" bestFit="1" customWidth="1"/>
    <col min="4875" max="4875" width="4.5703125" style="472" customWidth="1"/>
    <col min="4876" max="4876" width="9.140625" style="472" customWidth="1"/>
    <col min="4877" max="5120" width="9.140625" style="472"/>
    <col min="5121" max="5121" width="3.42578125" style="472" customWidth="1"/>
    <col min="5122" max="5122" width="5.7109375" style="472" customWidth="1"/>
    <col min="5123" max="5123" width="45" style="472" customWidth="1"/>
    <col min="5124" max="5124" width="6.85546875" style="472" customWidth="1"/>
    <col min="5125" max="5125" width="11" style="472" customWidth="1"/>
    <col min="5126" max="5127" width="12" style="472" bestFit="1" customWidth="1"/>
    <col min="5128" max="5129" width="10.85546875" style="472" bestFit="1" customWidth="1"/>
    <col min="5130" max="5130" width="10.5703125" style="472" bestFit="1" customWidth="1"/>
    <col min="5131" max="5131" width="4.5703125" style="472" customWidth="1"/>
    <col min="5132" max="5132" width="9.140625" style="472" customWidth="1"/>
    <col min="5133" max="5376" width="9.140625" style="472"/>
    <col min="5377" max="5377" width="3.42578125" style="472" customWidth="1"/>
    <col min="5378" max="5378" width="5.7109375" style="472" customWidth="1"/>
    <col min="5379" max="5379" width="45" style="472" customWidth="1"/>
    <col min="5380" max="5380" width="6.85546875" style="472" customWidth="1"/>
    <col min="5381" max="5381" width="11" style="472" customWidth="1"/>
    <col min="5382" max="5383" width="12" style="472" bestFit="1" customWidth="1"/>
    <col min="5384" max="5385" width="10.85546875" style="472" bestFit="1" customWidth="1"/>
    <col min="5386" max="5386" width="10.5703125" style="472" bestFit="1" customWidth="1"/>
    <col min="5387" max="5387" width="4.5703125" style="472" customWidth="1"/>
    <col min="5388" max="5388" width="9.140625" style="472" customWidth="1"/>
    <col min="5389" max="5632" width="9.140625" style="472"/>
    <col min="5633" max="5633" width="3.42578125" style="472" customWidth="1"/>
    <col min="5634" max="5634" width="5.7109375" style="472" customWidth="1"/>
    <col min="5635" max="5635" width="45" style="472" customWidth="1"/>
    <col min="5636" max="5636" width="6.85546875" style="472" customWidth="1"/>
    <col min="5637" max="5637" width="11" style="472" customWidth="1"/>
    <col min="5638" max="5639" width="12" style="472" bestFit="1" customWidth="1"/>
    <col min="5640" max="5641" width="10.85546875" style="472" bestFit="1" customWidth="1"/>
    <col min="5642" max="5642" width="10.5703125" style="472" bestFit="1" customWidth="1"/>
    <col min="5643" max="5643" width="4.5703125" style="472" customWidth="1"/>
    <col min="5644" max="5644" width="9.140625" style="472" customWidth="1"/>
    <col min="5645" max="5888" width="9.140625" style="472"/>
    <col min="5889" max="5889" width="3.42578125" style="472" customWidth="1"/>
    <col min="5890" max="5890" width="5.7109375" style="472" customWidth="1"/>
    <col min="5891" max="5891" width="45" style="472" customWidth="1"/>
    <col min="5892" max="5892" width="6.85546875" style="472" customWidth="1"/>
    <col min="5893" max="5893" width="11" style="472" customWidth="1"/>
    <col min="5894" max="5895" width="12" style="472" bestFit="1" customWidth="1"/>
    <col min="5896" max="5897" width="10.85546875" style="472" bestFit="1" customWidth="1"/>
    <col min="5898" max="5898" width="10.5703125" style="472" bestFit="1" customWidth="1"/>
    <col min="5899" max="5899" width="4.5703125" style="472" customWidth="1"/>
    <col min="5900" max="5900" width="9.140625" style="472" customWidth="1"/>
    <col min="5901" max="6144" width="9.140625" style="472"/>
    <col min="6145" max="6145" width="3.42578125" style="472" customWidth="1"/>
    <col min="6146" max="6146" width="5.7109375" style="472" customWidth="1"/>
    <col min="6147" max="6147" width="45" style="472" customWidth="1"/>
    <col min="6148" max="6148" width="6.85546875" style="472" customWidth="1"/>
    <col min="6149" max="6149" width="11" style="472" customWidth="1"/>
    <col min="6150" max="6151" width="12" style="472" bestFit="1" customWidth="1"/>
    <col min="6152" max="6153" width="10.85546875" style="472" bestFit="1" customWidth="1"/>
    <col min="6154" max="6154" width="10.5703125" style="472" bestFit="1" customWidth="1"/>
    <col min="6155" max="6155" width="4.5703125" style="472" customWidth="1"/>
    <col min="6156" max="6156" width="9.140625" style="472" customWidth="1"/>
    <col min="6157" max="6400" width="9.140625" style="472"/>
    <col min="6401" max="6401" width="3.42578125" style="472" customWidth="1"/>
    <col min="6402" max="6402" width="5.7109375" style="472" customWidth="1"/>
    <col min="6403" max="6403" width="45" style="472" customWidth="1"/>
    <col min="6404" max="6404" width="6.85546875" style="472" customWidth="1"/>
    <col min="6405" max="6405" width="11" style="472" customWidth="1"/>
    <col min="6406" max="6407" width="12" style="472" bestFit="1" customWidth="1"/>
    <col min="6408" max="6409" width="10.85546875" style="472" bestFit="1" customWidth="1"/>
    <col min="6410" max="6410" width="10.5703125" style="472" bestFit="1" customWidth="1"/>
    <col min="6411" max="6411" width="4.5703125" style="472" customWidth="1"/>
    <col min="6412" max="6412" width="9.140625" style="472" customWidth="1"/>
    <col min="6413" max="6656" width="9.140625" style="472"/>
    <col min="6657" max="6657" width="3.42578125" style="472" customWidth="1"/>
    <col min="6658" max="6658" width="5.7109375" style="472" customWidth="1"/>
    <col min="6659" max="6659" width="45" style="472" customWidth="1"/>
    <col min="6660" max="6660" width="6.85546875" style="472" customWidth="1"/>
    <col min="6661" max="6661" width="11" style="472" customWidth="1"/>
    <col min="6662" max="6663" width="12" style="472" bestFit="1" customWidth="1"/>
    <col min="6664" max="6665" width="10.85546875" style="472" bestFit="1" customWidth="1"/>
    <col min="6666" max="6666" width="10.5703125" style="472" bestFit="1" customWidth="1"/>
    <col min="6667" max="6667" width="4.5703125" style="472" customWidth="1"/>
    <col min="6668" max="6668" width="9.140625" style="472" customWidth="1"/>
    <col min="6669" max="6912" width="9.140625" style="472"/>
    <col min="6913" max="6913" width="3.42578125" style="472" customWidth="1"/>
    <col min="6914" max="6914" width="5.7109375" style="472" customWidth="1"/>
    <col min="6915" max="6915" width="45" style="472" customWidth="1"/>
    <col min="6916" max="6916" width="6.85546875" style="472" customWidth="1"/>
    <col min="6917" max="6917" width="11" style="472" customWidth="1"/>
    <col min="6918" max="6919" width="12" style="472" bestFit="1" customWidth="1"/>
    <col min="6920" max="6921" width="10.85546875" style="472" bestFit="1" customWidth="1"/>
    <col min="6922" max="6922" width="10.5703125" style="472" bestFit="1" customWidth="1"/>
    <col min="6923" max="6923" width="4.5703125" style="472" customWidth="1"/>
    <col min="6924" max="6924" width="9.140625" style="472" customWidth="1"/>
    <col min="6925" max="7168" width="9.140625" style="472"/>
    <col min="7169" max="7169" width="3.42578125" style="472" customWidth="1"/>
    <col min="7170" max="7170" width="5.7109375" style="472" customWidth="1"/>
    <col min="7171" max="7171" width="45" style="472" customWidth="1"/>
    <col min="7172" max="7172" width="6.85546875" style="472" customWidth="1"/>
    <col min="7173" max="7173" width="11" style="472" customWidth="1"/>
    <col min="7174" max="7175" width="12" style="472" bestFit="1" customWidth="1"/>
    <col min="7176" max="7177" width="10.85546875" style="472" bestFit="1" customWidth="1"/>
    <col min="7178" max="7178" width="10.5703125" style="472" bestFit="1" customWidth="1"/>
    <col min="7179" max="7179" width="4.5703125" style="472" customWidth="1"/>
    <col min="7180" max="7180" width="9.140625" style="472" customWidth="1"/>
    <col min="7181" max="7424" width="9.140625" style="472"/>
    <col min="7425" max="7425" width="3.42578125" style="472" customWidth="1"/>
    <col min="7426" max="7426" width="5.7109375" style="472" customWidth="1"/>
    <col min="7427" max="7427" width="45" style="472" customWidth="1"/>
    <col min="7428" max="7428" width="6.85546875" style="472" customWidth="1"/>
    <col min="7429" max="7429" width="11" style="472" customWidth="1"/>
    <col min="7430" max="7431" width="12" style="472" bestFit="1" customWidth="1"/>
    <col min="7432" max="7433" width="10.85546875" style="472" bestFit="1" customWidth="1"/>
    <col min="7434" max="7434" width="10.5703125" style="472" bestFit="1" customWidth="1"/>
    <col min="7435" max="7435" width="4.5703125" style="472" customWidth="1"/>
    <col min="7436" max="7436" width="9.140625" style="472" customWidth="1"/>
    <col min="7437" max="7680" width="9.140625" style="472"/>
    <col min="7681" max="7681" width="3.42578125" style="472" customWidth="1"/>
    <col min="7682" max="7682" width="5.7109375" style="472" customWidth="1"/>
    <col min="7683" max="7683" width="45" style="472" customWidth="1"/>
    <col min="7684" max="7684" width="6.85546875" style="472" customWidth="1"/>
    <col min="7685" max="7685" width="11" style="472" customWidth="1"/>
    <col min="7686" max="7687" width="12" style="472" bestFit="1" customWidth="1"/>
    <col min="7688" max="7689" width="10.85546875" style="472" bestFit="1" customWidth="1"/>
    <col min="7690" max="7690" width="10.5703125" style="472" bestFit="1" customWidth="1"/>
    <col min="7691" max="7691" width="4.5703125" style="472" customWidth="1"/>
    <col min="7692" max="7692" width="9.140625" style="472" customWidth="1"/>
    <col min="7693" max="7936" width="9.140625" style="472"/>
    <col min="7937" max="7937" width="3.42578125" style="472" customWidth="1"/>
    <col min="7938" max="7938" width="5.7109375" style="472" customWidth="1"/>
    <col min="7939" max="7939" width="45" style="472" customWidth="1"/>
    <col min="7940" max="7940" width="6.85546875" style="472" customWidth="1"/>
    <col min="7941" max="7941" width="11" style="472" customWidth="1"/>
    <col min="7942" max="7943" width="12" style="472" bestFit="1" customWidth="1"/>
    <col min="7944" max="7945" width="10.85546875" style="472" bestFit="1" customWidth="1"/>
    <col min="7946" max="7946" width="10.5703125" style="472" bestFit="1" customWidth="1"/>
    <col min="7947" max="7947" width="4.5703125" style="472" customWidth="1"/>
    <col min="7948" max="7948" width="9.140625" style="472" customWidth="1"/>
    <col min="7949" max="8192" width="9.140625" style="472"/>
    <col min="8193" max="8193" width="3.42578125" style="472" customWidth="1"/>
    <col min="8194" max="8194" width="5.7109375" style="472" customWidth="1"/>
    <col min="8195" max="8195" width="45" style="472" customWidth="1"/>
    <col min="8196" max="8196" width="6.85546875" style="472" customWidth="1"/>
    <col min="8197" max="8197" width="11" style="472" customWidth="1"/>
    <col min="8198" max="8199" width="12" style="472" bestFit="1" customWidth="1"/>
    <col min="8200" max="8201" width="10.85546875" style="472" bestFit="1" customWidth="1"/>
    <col min="8202" max="8202" width="10.5703125" style="472" bestFit="1" customWidth="1"/>
    <col min="8203" max="8203" width="4.5703125" style="472" customWidth="1"/>
    <col min="8204" max="8204" width="9.140625" style="472" customWidth="1"/>
    <col min="8205" max="8448" width="9.140625" style="472"/>
    <col min="8449" max="8449" width="3.42578125" style="472" customWidth="1"/>
    <col min="8450" max="8450" width="5.7109375" style="472" customWidth="1"/>
    <col min="8451" max="8451" width="45" style="472" customWidth="1"/>
    <col min="8452" max="8452" width="6.85546875" style="472" customWidth="1"/>
    <col min="8453" max="8453" width="11" style="472" customWidth="1"/>
    <col min="8454" max="8455" width="12" style="472" bestFit="1" customWidth="1"/>
    <col min="8456" max="8457" width="10.85546875" style="472" bestFit="1" customWidth="1"/>
    <col min="8458" max="8458" width="10.5703125" style="472" bestFit="1" customWidth="1"/>
    <col min="8459" max="8459" width="4.5703125" style="472" customWidth="1"/>
    <col min="8460" max="8460" width="9.140625" style="472" customWidth="1"/>
    <col min="8461" max="8704" width="9.140625" style="472"/>
    <col min="8705" max="8705" width="3.42578125" style="472" customWidth="1"/>
    <col min="8706" max="8706" width="5.7109375" style="472" customWidth="1"/>
    <col min="8707" max="8707" width="45" style="472" customWidth="1"/>
    <col min="8708" max="8708" width="6.85546875" style="472" customWidth="1"/>
    <col min="8709" max="8709" width="11" style="472" customWidth="1"/>
    <col min="8710" max="8711" width="12" style="472" bestFit="1" customWidth="1"/>
    <col min="8712" max="8713" width="10.85546875" style="472" bestFit="1" customWidth="1"/>
    <col min="8714" max="8714" width="10.5703125" style="472" bestFit="1" customWidth="1"/>
    <col min="8715" max="8715" width="4.5703125" style="472" customWidth="1"/>
    <col min="8716" max="8716" width="9.140625" style="472" customWidth="1"/>
    <col min="8717" max="8960" width="9.140625" style="472"/>
    <col min="8961" max="8961" width="3.42578125" style="472" customWidth="1"/>
    <col min="8962" max="8962" width="5.7109375" style="472" customWidth="1"/>
    <col min="8963" max="8963" width="45" style="472" customWidth="1"/>
    <col min="8964" max="8964" width="6.85546875" style="472" customWidth="1"/>
    <col min="8965" max="8965" width="11" style="472" customWidth="1"/>
    <col min="8966" max="8967" width="12" style="472" bestFit="1" customWidth="1"/>
    <col min="8968" max="8969" width="10.85546875" style="472" bestFit="1" customWidth="1"/>
    <col min="8970" max="8970" width="10.5703125" style="472" bestFit="1" customWidth="1"/>
    <col min="8971" max="8971" width="4.5703125" style="472" customWidth="1"/>
    <col min="8972" max="8972" width="9.140625" style="472" customWidth="1"/>
    <col min="8973" max="9216" width="9.140625" style="472"/>
    <col min="9217" max="9217" width="3.42578125" style="472" customWidth="1"/>
    <col min="9218" max="9218" width="5.7109375" style="472" customWidth="1"/>
    <col min="9219" max="9219" width="45" style="472" customWidth="1"/>
    <col min="9220" max="9220" width="6.85546875" style="472" customWidth="1"/>
    <col min="9221" max="9221" width="11" style="472" customWidth="1"/>
    <col min="9222" max="9223" width="12" style="472" bestFit="1" customWidth="1"/>
    <col min="9224" max="9225" width="10.85546875" style="472" bestFit="1" customWidth="1"/>
    <col min="9226" max="9226" width="10.5703125" style="472" bestFit="1" customWidth="1"/>
    <col min="9227" max="9227" width="4.5703125" style="472" customWidth="1"/>
    <col min="9228" max="9228" width="9.140625" style="472" customWidth="1"/>
    <col min="9229" max="9472" width="9.140625" style="472"/>
    <col min="9473" max="9473" width="3.42578125" style="472" customWidth="1"/>
    <col min="9474" max="9474" width="5.7109375" style="472" customWidth="1"/>
    <col min="9475" max="9475" width="45" style="472" customWidth="1"/>
    <col min="9476" max="9476" width="6.85546875" style="472" customWidth="1"/>
    <col min="9477" max="9477" width="11" style="472" customWidth="1"/>
    <col min="9478" max="9479" width="12" style="472" bestFit="1" customWidth="1"/>
    <col min="9480" max="9481" width="10.85546875" style="472" bestFit="1" customWidth="1"/>
    <col min="9482" max="9482" width="10.5703125" style="472" bestFit="1" customWidth="1"/>
    <col min="9483" max="9483" width="4.5703125" style="472" customWidth="1"/>
    <col min="9484" max="9484" width="9.140625" style="472" customWidth="1"/>
    <col min="9485" max="9728" width="9.140625" style="472"/>
    <col min="9729" max="9729" width="3.42578125" style="472" customWidth="1"/>
    <col min="9730" max="9730" width="5.7109375" style="472" customWidth="1"/>
    <col min="9731" max="9731" width="45" style="472" customWidth="1"/>
    <col min="9732" max="9732" width="6.85546875" style="472" customWidth="1"/>
    <col min="9733" max="9733" width="11" style="472" customWidth="1"/>
    <col min="9734" max="9735" width="12" style="472" bestFit="1" customWidth="1"/>
    <col min="9736" max="9737" width="10.85546875" style="472" bestFit="1" customWidth="1"/>
    <col min="9738" max="9738" width="10.5703125" style="472" bestFit="1" customWidth="1"/>
    <col min="9739" max="9739" width="4.5703125" style="472" customWidth="1"/>
    <col min="9740" max="9740" width="9.140625" style="472" customWidth="1"/>
    <col min="9741" max="9984" width="9.140625" style="472"/>
    <col min="9985" max="9985" width="3.42578125" style="472" customWidth="1"/>
    <col min="9986" max="9986" width="5.7109375" style="472" customWidth="1"/>
    <col min="9987" max="9987" width="45" style="472" customWidth="1"/>
    <col min="9988" max="9988" width="6.85546875" style="472" customWidth="1"/>
    <col min="9989" max="9989" width="11" style="472" customWidth="1"/>
    <col min="9990" max="9991" width="12" style="472" bestFit="1" customWidth="1"/>
    <col min="9992" max="9993" width="10.85546875" style="472" bestFit="1" customWidth="1"/>
    <col min="9994" max="9994" width="10.5703125" style="472" bestFit="1" customWidth="1"/>
    <col min="9995" max="9995" width="4.5703125" style="472" customWidth="1"/>
    <col min="9996" max="9996" width="9.140625" style="472" customWidth="1"/>
    <col min="9997" max="10240" width="9.140625" style="472"/>
    <col min="10241" max="10241" width="3.42578125" style="472" customWidth="1"/>
    <col min="10242" max="10242" width="5.7109375" style="472" customWidth="1"/>
    <col min="10243" max="10243" width="45" style="472" customWidth="1"/>
    <col min="10244" max="10244" width="6.85546875" style="472" customWidth="1"/>
    <col min="10245" max="10245" width="11" style="472" customWidth="1"/>
    <col min="10246" max="10247" width="12" style="472" bestFit="1" customWidth="1"/>
    <col min="10248" max="10249" width="10.85546875" style="472" bestFit="1" customWidth="1"/>
    <col min="10250" max="10250" width="10.5703125" style="472" bestFit="1" customWidth="1"/>
    <col min="10251" max="10251" width="4.5703125" style="472" customWidth="1"/>
    <col min="10252" max="10252" width="9.140625" style="472" customWidth="1"/>
    <col min="10253" max="10496" width="9.140625" style="472"/>
    <col min="10497" max="10497" width="3.42578125" style="472" customWidth="1"/>
    <col min="10498" max="10498" width="5.7109375" style="472" customWidth="1"/>
    <col min="10499" max="10499" width="45" style="472" customWidth="1"/>
    <col min="10500" max="10500" width="6.85546875" style="472" customWidth="1"/>
    <col min="10501" max="10501" width="11" style="472" customWidth="1"/>
    <col min="10502" max="10503" width="12" style="472" bestFit="1" customWidth="1"/>
    <col min="10504" max="10505" width="10.85546875" style="472" bestFit="1" customWidth="1"/>
    <col min="10506" max="10506" width="10.5703125" style="472" bestFit="1" customWidth="1"/>
    <col min="10507" max="10507" width="4.5703125" style="472" customWidth="1"/>
    <col min="10508" max="10508" width="9.140625" style="472" customWidth="1"/>
    <col min="10509" max="10752" width="9.140625" style="472"/>
    <col min="10753" max="10753" width="3.42578125" style="472" customWidth="1"/>
    <col min="10754" max="10754" width="5.7109375" style="472" customWidth="1"/>
    <col min="10755" max="10755" width="45" style="472" customWidth="1"/>
    <col min="10756" max="10756" width="6.85546875" style="472" customWidth="1"/>
    <col min="10757" max="10757" width="11" style="472" customWidth="1"/>
    <col min="10758" max="10759" width="12" style="472" bestFit="1" customWidth="1"/>
    <col min="10760" max="10761" width="10.85546875" style="472" bestFit="1" customWidth="1"/>
    <col min="10762" max="10762" width="10.5703125" style="472" bestFit="1" customWidth="1"/>
    <col min="10763" max="10763" width="4.5703125" style="472" customWidth="1"/>
    <col min="10764" max="10764" width="9.140625" style="472" customWidth="1"/>
    <col min="10765" max="11008" width="9.140625" style="472"/>
    <col min="11009" max="11009" width="3.42578125" style="472" customWidth="1"/>
    <col min="11010" max="11010" width="5.7109375" style="472" customWidth="1"/>
    <col min="11011" max="11011" width="45" style="472" customWidth="1"/>
    <col min="11012" max="11012" width="6.85546875" style="472" customWidth="1"/>
    <col min="11013" max="11013" width="11" style="472" customWidth="1"/>
    <col min="11014" max="11015" width="12" style="472" bestFit="1" customWidth="1"/>
    <col min="11016" max="11017" width="10.85546875" style="472" bestFit="1" customWidth="1"/>
    <col min="11018" max="11018" width="10.5703125" style="472" bestFit="1" customWidth="1"/>
    <col min="11019" max="11019" width="4.5703125" style="472" customWidth="1"/>
    <col min="11020" max="11020" width="9.140625" style="472" customWidth="1"/>
    <col min="11021" max="11264" width="9.140625" style="472"/>
    <col min="11265" max="11265" width="3.42578125" style="472" customWidth="1"/>
    <col min="11266" max="11266" width="5.7109375" style="472" customWidth="1"/>
    <col min="11267" max="11267" width="45" style="472" customWidth="1"/>
    <col min="11268" max="11268" width="6.85546875" style="472" customWidth="1"/>
    <col min="11269" max="11269" width="11" style="472" customWidth="1"/>
    <col min="11270" max="11271" width="12" style="472" bestFit="1" customWidth="1"/>
    <col min="11272" max="11273" width="10.85546875" style="472" bestFit="1" customWidth="1"/>
    <col min="11274" max="11274" width="10.5703125" style="472" bestFit="1" customWidth="1"/>
    <col min="11275" max="11275" width="4.5703125" style="472" customWidth="1"/>
    <col min="11276" max="11276" width="9.140625" style="472" customWidth="1"/>
    <col min="11277" max="11520" width="9.140625" style="472"/>
    <col min="11521" max="11521" width="3.42578125" style="472" customWidth="1"/>
    <col min="11522" max="11522" width="5.7109375" style="472" customWidth="1"/>
    <col min="11523" max="11523" width="45" style="472" customWidth="1"/>
    <col min="11524" max="11524" width="6.85546875" style="472" customWidth="1"/>
    <col min="11525" max="11525" width="11" style="472" customWidth="1"/>
    <col min="11526" max="11527" width="12" style="472" bestFit="1" customWidth="1"/>
    <col min="11528" max="11529" width="10.85546875" style="472" bestFit="1" customWidth="1"/>
    <col min="11530" max="11530" width="10.5703125" style="472" bestFit="1" customWidth="1"/>
    <col min="11531" max="11531" width="4.5703125" style="472" customWidth="1"/>
    <col min="11532" max="11532" width="9.140625" style="472" customWidth="1"/>
    <col min="11533" max="11776" width="9.140625" style="472"/>
    <col min="11777" max="11777" width="3.42578125" style="472" customWidth="1"/>
    <col min="11778" max="11778" width="5.7109375" style="472" customWidth="1"/>
    <col min="11779" max="11779" width="45" style="472" customWidth="1"/>
    <col min="11780" max="11780" width="6.85546875" style="472" customWidth="1"/>
    <col min="11781" max="11781" width="11" style="472" customWidth="1"/>
    <col min="11782" max="11783" width="12" style="472" bestFit="1" customWidth="1"/>
    <col min="11784" max="11785" width="10.85546875" style="472" bestFit="1" customWidth="1"/>
    <col min="11786" max="11786" width="10.5703125" style="472" bestFit="1" customWidth="1"/>
    <col min="11787" max="11787" width="4.5703125" style="472" customWidth="1"/>
    <col min="11788" max="11788" width="9.140625" style="472" customWidth="1"/>
    <col min="11789" max="12032" width="9.140625" style="472"/>
    <col min="12033" max="12033" width="3.42578125" style="472" customWidth="1"/>
    <col min="12034" max="12034" width="5.7109375" style="472" customWidth="1"/>
    <col min="12035" max="12035" width="45" style="472" customWidth="1"/>
    <col min="12036" max="12036" width="6.85546875" style="472" customWidth="1"/>
    <col min="12037" max="12037" width="11" style="472" customWidth="1"/>
    <col min="12038" max="12039" width="12" style="472" bestFit="1" customWidth="1"/>
    <col min="12040" max="12041" width="10.85546875" style="472" bestFit="1" customWidth="1"/>
    <col min="12042" max="12042" width="10.5703125" style="472" bestFit="1" customWidth="1"/>
    <col min="12043" max="12043" width="4.5703125" style="472" customWidth="1"/>
    <col min="12044" max="12044" width="9.140625" style="472" customWidth="1"/>
    <col min="12045" max="12288" width="9.140625" style="472"/>
    <col min="12289" max="12289" width="3.42578125" style="472" customWidth="1"/>
    <col min="12290" max="12290" width="5.7109375" style="472" customWidth="1"/>
    <col min="12291" max="12291" width="45" style="472" customWidth="1"/>
    <col min="12292" max="12292" width="6.85546875" style="472" customWidth="1"/>
    <col min="12293" max="12293" width="11" style="472" customWidth="1"/>
    <col min="12294" max="12295" width="12" style="472" bestFit="1" customWidth="1"/>
    <col min="12296" max="12297" width="10.85546875" style="472" bestFit="1" customWidth="1"/>
    <col min="12298" max="12298" width="10.5703125" style="472" bestFit="1" customWidth="1"/>
    <col min="12299" max="12299" width="4.5703125" style="472" customWidth="1"/>
    <col min="12300" max="12300" width="9.140625" style="472" customWidth="1"/>
    <col min="12301" max="12544" width="9.140625" style="472"/>
    <col min="12545" max="12545" width="3.42578125" style="472" customWidth="1"/>
    <col min="12546" max="12546" width="5.7109375" style="472" customWidth="1"/>
    <col min="12547" max="12547" width="45" style="472" customWidth="1"/>
    <col min="12548" max="12548" width="6.85546875" style="472" customWidth="1"/>
    <col min="12549" max="12549" width="11" style="472" customWidth="1"/>
    <col min="12550" max="12551" width="12" style="472" bestFit="1" customWidth="1"/>
    <col min="12552" max="12553" width="10.85546875" style="472" bestFit="1" customWidth="1"/>
    <col min="12554" max="12554" width="10.5703125" style="472" bestFit="1" customWidth="1"/>
    <col min="12555" max="12555" width="4.5703125" style="472" customWidth="1"/>
    <col min="12556" max="12556" width="9.140625" style="472" customWidth="1"/>
    <col min="12557" max="12800" width="9.140625" style="472"/>
    <col min="12801" max="12801" width="3.42578125" style="472" customWidth="1"/>
    <col min="12802" max="12802" width="5.7109375" style="472" customWidth="1"/>
    <col min="12803" max="12803" width="45" style="472" customWidth="1"/>
    <col min="12804" max="12804" width="6.85546875" style="472" customWidth="1"/>
    <col min="12805" max="12805" width="11" style="472" customWidth="1"/>
    <col min="12806" max="12807" width="12" style="472" bestFit="1" customWidth="1"/>
    <col min="12808" max="12809" width="10.85546875" style="472" bestFit="1" customWidth="1"/>
    <col min="12810" max="12810" width="10.5703125" style="472" bestFit="1" customWidth="1"/>
    <col min="12811" max="12811" width="4.5703125" style="472" customWidth="1"/>
    <col min="12812" max="12812" width="9.140625" style="472" customWidth="1"/>
    <col min="12813" max="13056" width="9.140625" style="472"/>
    <col min="13057" max="13057" width="3.42578125" style="472" customWidth="1"/>
    <col min="13058" max="13058" width="5.7109375" style="472" customWidth="1"/>
    <col min="13059" max="13059" width="45" style="472" customWidth="1"/>
    <col min="13060" max="13060" width="6.85546875" style="472" customWidth="1"/>
    <col min="13061" max="13061" width="11" style="472" customWidth="1"/>
    <col min="13062" max="13063" width="12" style="472" bestFit="1" customWidth="1"/>
    <col min="13064" max="13065" width="10.85546875" style="472" bestFit="1" customWidth="1"/>
    <col min="13066" max="13066" width="10.5703125" style="472" bestFit="1" customWidth="1"/>
    <col min="13067" max="13067" width="4.5703125" style="472" customWidth="1"/>
    <col min="13068" max="13068" width="9.140625" style="472" customWidth="1"/>
    <col min="13069" max="13312" width="9.140625" style="472"/>
    <col min="13313" max="13313" width="3.42578125" style="472" customWidth="1"/>
    <col min="13314" max="13314" width="5.7109375" style="472" customWidth="1"/>
    <col min="13315" max="13315" width="45" style="472" customWidth="1"/>
    <col min="13316" max="13316" width="6.85546875" style="472" customWidth="1"/>
    <col min="13317" max="13317" width="11" style="472" customWidth="1"/>
    <col min="13318" max="13319" width="12" style="472" bestFit="1" customWidth="1"/>
    <col min="13320" max="13321" width="10.85546875" style="472" bestFit="1" customWidth="1"/>
    <col min="13322" max="13322" width="10.5703125" style="472" bestFit="1" customWidth="1"/>
    <col min="13323" max="13323" width="4.5703125" style="472" customWidth="1"/>
    <col min="13324" max="13324" width="9.140625" style="472" customWidth="1"/>
    <col min="13325" max="13568" width="9.140625" style="472"/>
    <col min="13569" max="13569" width="3.42578125" style="472" customWidth="1"/>
    <col min="13570" max="13570" width="5.7109375" style="472" customWidth="1"/>
    <col min="13571" max="13571" width="45" style="472" customWidth="1"/>
    <col min="13572" max="13572" width="6.85546875" style="472" customWidth="1"/>
    <col min="13573" max="13573" width="11" style="472" customWidth="1"/>
    <col min="13574" max="13575" width="12" style="472" bestFit="1" customWidth="1"/>
    <col min="13576" max="13577" width="10.85546875" style="472" bestFit="1" customWidth="1"/>
    <col min="13578" max="13578" width="10.5703125" style="472" bestFit="1" customWidth="1"/>
    <col min="13579" max="13579" width="4.5703125" style="472" customWidth="1"/>
    <col min="13580" max="13580" width="9.140625" style="472" customWidth="1"/>
    <col min="13581" max="13824" width="9.140625" style="472"/>
    <col min="13825" max="13825" width="3.42578125" style="472" customWidth="1"/>
    <col min="13826" max="13826" width="5.7109375" style="472" customWidth="1"/>
    <col min="13827" max="13827" width="45" style="472" customWidth="1"/>
    <col min="13828" max="13828" width="6.85546875" style="472" customWidth="1"/>
    <col min="13829" max="13829" width="11" style="472" customWidth="1"/>
    <col min="13830" max="13831" width="12" style="472" bestFit="1" customWidth="1"/>
    <col min="13832" max="13833" width="10.85546875" style="472" bestFit="1" customWidth="1"/>
    <col min="13834" max="13834" width="10.5703125" style="472" bestFit="1" customWidth="1"/>
    <col min="13835" max="13835" width="4.5703125" style="472" customWidth="1"/>
    <col min="13836" max="13836" width="9.140625" style="472" customWidth="1"/>
    <col min="13837" max="14080" width="9.140625" style="472"/>
    <col min="14081" max="14081" width="3.42578125" style="472" customWidth="1"/>
    <col min="14082" max="14082" width="5.7109375" style="472" customWidth="1"/>
    <col min="14083" max="14083" width="45" style="472" customWidth="1"/>
    <col min="14084" max="14084" width="6.85546875" style="472" customWidth="1"/>
    <col min="14085" max="14085" width="11" style="472" customWidth="1"/>
    <col min="14086" max="14087" width="12" style="472" bestFit="1" customWidth="1"/>
    <col min="14088" max="14089" width="10.85546875" style="472" bestFit="1" customWidth="1"/>
    <col min="14090" max="14090" width="10.5703125" style="472" bestFit="1" customWidth="1"/>
    <col min="14091" max="14091" width="4.5703125" style="472" customWidth="1"/>
    <col min="14092" max="14092" width="9.140625" style="472" customWidth="1"/>
    <col min="14093" max="14336" width="9.140625" style="472"/>
    <col min="14337" max="14337" width="3.42578125" style="472" customWidth="1"/>
    <col min="14338" max="14338" width="5.7109375" style="472" customWidth="1"/>
    <col min="14339" max="14339" width="45" style="472" customWidth="1"/>
    <col min="14340" max="14340" width="6.85546875" style="472" customWidth="1"/>
    <col min="14341" max="14341" width="11" style="472" customWidth="1"/>
    <col min="14342" max="14343" width="12" style="472" bestFit="1" customWidth="1"/>
    <col min="14344" max="14345" width="10.85546875" style="472" bestFit="1" customWidth="1"/>
    <col min="14346" max="14346" width="10.5703125" style="472" bestFit="1" customWidth="1"/>
    <col min="14347" max="14347" width="4.5703125" style="472" customWidth="1"/>
    <col min="14348" max="14348" width="9.140625" style="472" customWidth="1"/>
    <col min="14349" max="14592" width="9.140625" style="472"/>
    <col min="14593" max="14593" width="3.42578125" style="472" customWidth="1"/>
    <col min="14594" max="14594" width="5.7109375" style="472" customWidth="1"/>
    <col min="14595" max="14595" width="45" style="472" customWidth="1"/>
    <col min="14596" max="14596" width="6.85546875" style="472" customWidth="1"/>
    <col min="14597" max="14597" width="11" style="472" customWidth="1"/>
    <col min="14598" max="14599" width="12" style="472" bestFit="1" customWidth="1"/>
    <col min="14600" max="14601" width="10.85546875" style="472" bestFit="1" customWidth="1"/>
    <col min="14602" max="14602" width="10.5703125" style="472" bestFit="1" customWidth="1"/>
    <col min="14603" max="14603" width="4.5703125" style="472" customWidth="1"/>
    <col min="14604" max="14604" width="9.140625" style="472" customWidth="1"/>
    <col min="14605" max="14848" width="9.140625" style="472"/>
    <col min="14849" max="14849" width="3.42578125" style="472" customWidth="1"/>
    <col min="14850" max="14850" width="5.7109375" style="472" customWidth="1"/>
    <col min="14851" max="14851" width="45" style="472" customWidth="1"/>
    <col min="14852" max="14852" width="6.85546875" style="472" customWidth="1"/>
    <col min="14853" max="14853" width="11" style="472" customWidth="1"/>
    <col min="14854" max="14855" width="12" style="472" bestFit="1" customWidth="1"/>
    <col min="14856" max="14857" width="10.85546875" style="472" bestFit="1" customWidth="1"/>
    <col min="14858" max="14858" width="10.5703125" style="472" bestFit="1" customWidth="1"/>
    <col min="14859" max="14859" width="4.5703125" style="472" customWidth="1"/>
    <col min="14860" max="14860" width="9.140625" style="472" customWidth="1"/>
    <col min="14861" max="15104" width="9.140625" style="472"/>
    <col min="15105" max="15105" width="3.42578125" style="472" customWidth="1"/>
    <col min="15106" max="15106" width="5.7109375" style="472" customWidth="1"/>
    <col min="15107" max="15107" width="45" style="472" customWidth="1"/>
    <col min="15108" max="15108" width="6.85546875" style="472" customWidth="1"/>
    <col min="15109" max="15109" width="11" style="472" customWidth="1"/>
    <col min="15110" max="15111" width="12" style="472" bestFit="1" customWidth="1"/>
    <col min="15112" max="15113" width="10.85546875" style="472" bestFit="1" customWidth="1"/>
    <col min="15114" max="15114" width="10.5703125" style="472" bestFit="1" customWidth="1"/>
    <col min="15115" max="15115" width="4.5703125" style="472" customWidth="1"/>
    <col min="15116" max="15116" width="9.140625" style="472" customWidth="1"/>
    <col min="15117" max="15360" width="9.140625" style="472"/>
    <col min="15361" max="15361" width="3.42578125" style="472" customWidth="1"/>
    <col min="15362" max="15362" width="5.7109375" style="472" customWidth="1"/>
    <col min="15363" max="15363" width="45" style="472" customWidth="1"/>
    <col min="15364" max="15364" width="6.85546875" style="472" customWidth="1"/>
    <col min="15365" max="15365" width="11" style="472" customWidth="1"/>
    <col min="15366" max="15367" width="12" style="472" bestFit="1" customWidth="1"/>
    <col min="15368" max="15369" width="10.85546875" style="472" bestFit="1" customWidth="1"/>
    <col min="15370" max="15370" width="10.5703125" style="472" bestFit="1" customWidth="1"/>
    <col min="15371" max="15371" width="4.5703125" style="472" customWidth="1"/>
    <col min="15372" max="15372" width="9.140625" style="472" customWidth="1"/>
    <col min="15373" max="15616" width="9.140625" style="472"/>
    <col min="15617" max="15617" width="3.42578125" style="472" customWidth="1"/>
    <col min="15618" max="15618" width="5.7109375" style="472" customWidth="1"/>
    <col min="15619" max="15619" width="45" style="472" customWidth="1"/>
    <col min="15620" max="15620" width="6.85546875" style="472" customWidth="1"/>
    <col min="15621" max="15621" width="11" style="472" customWidth="1"/>
    <col min="15622" max="15623" width="12" style="472" bestFit="1" customWidth="1"/>
    <col min="15624" max="15625" width="10.85546875" style="472" bestFit="1" customWidth="1"/>
    <col min="15626" max="15626" width="10.5703125" style="472" bestFit="1" customWidth="1"/>
    <col min="15627" max="15627" width="4.5703125" style="472" customWidth="1"/>
    <col min="15628" max="15628" width="9.140625" style="472" customWidth="1"/>
    <col min="15629" max="15872" width="9.140625" style="472"/>
    <col min="15873" max="15873" width="3.42578125" style="472" customWidth="1"/>
    <col min="15874" max="15874" width="5.7109375" style="472" customWidth="1"/>
    <col min="15875" max="15875" width="45" style="472" customWidth="1"/>
    <col min="15876" max="15876" width="6.85546875" style="472" customWidth="1"/>
    <col min="15877" max="15877" width="11" style="472" customWidth="1"/>
    <col min="15878" max="15879" width="12" style="472" bestFit="1" customWidth="1"/>
    <col min="15880" max="15881" width="10.85546875" style="472" bestFit="1" customWidth="1"/>
    <col min="15882" max="15882" width="10.5703125" style="472" bestFit="1" customWidth="1"/>
    <col min="15883" max="15883" width="4.5703125" style="472" customWidth="1"/>
    <col min="15884" max="15884" width="9.140625" style="472" customWidth="1"/>
    <col min="15885" max="16128" width="9.140625" style="472"/>
    <col min="16129" max="16129" width="3.42578125" style="472" customWidth="1"/>
    <col min="16130" max="16130" width="5.7109375" style="472" customWidth="1"/>
    <col min="16131" max="16131" width="45" style="472" customWidth="1"/>
    <col min="16132" max="16132" width="6.85546875" style="472" customWidth="1"/>
    <col min="16133" max="16133" width="11" style="472" customWidth="1"/>
    <col min="16134" max="16135" width="12" style="472" bestFit="1" customWidth="1"/>
    <col min="16136" max="16137" width="10.85546875" style="472" bestFit="1" customWidth="1"/>
    <col min="16138" max="16138" width="10.5703125" style="472" bestFit="1" customWidth="1"/>
    <col min="16139" max="16139" width="4.5703125" style="472" customWidth="1"/>
    <col min="16140" max="16140" width="9.140625" style="472" customWidth="1"/>
    <col min="16141" max="16384" width="9.140625" style="472"/>
  </cols>
  <sheetData>
    <row r="1" spans="2:12" s="418" customFormat="1"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</row>
    <row r="2" spans="2:12" s="418" customFormat="1" ht="15.75">
      <c r="B2" s="469" t="s">
        <v>41</v>
      </c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2:12" s="418" customFormat="1" ht="15.75">
      <c r="B3" s="470" t="s">
        <v>421</v>
      </c>
      <c r="C3" s="471"/>
      <c r="D3" s="471"/>
      <c r="E3" s="471"/>
      <c r="F3" s="471"/>
      <c r="G3" s="471"/>
      <c r="H3" s="471"/>
      <c r="I3" s="471"/>
      <c r="J3" s="471"/>
      <c r="K3" s="431"/>
      <c r="L3" s="431"/>
    </row>
    <row r="4" spans="2:12" s="418" customFormat="1" ht="14.25">
      <c r="B4" s="615" t="s">
        <v>380</v>
      </c>
      <c r="C4" s="615"/>
      <c r="D4" s="615"/>
      <c r="E4" s="615"/>
      <c r="F4" s="615"/>
      <c r="G4" s="615"/>
      <c r="H4" s="615"/>
      <c r="I4" s="615"/>
      <c r="J4" s="615"/>
      <c r="K4" s="431"/>
      <c r="L4" s="431"/>
    </row>
    <row r="5" spans="2:12" s="418" customFormat="1" ht="14.25">
      <c r="B5" s="615" t="s">
        <v>350</v>
      </c>
      <c r="C5" s="615"/>
      <c r="D5" s="615"/>
      <c r="E5" s="615"/>
      <c r="F5" s="615"/>
      <c r="G5" s="615"/>
      <c r="H5" s="615"/>
      <c r="I5" s="615"/>
      <c r="J5" s="615"/>
      <c r="K5" s="431"/>
      <c r="L5" s="431"/>
    </row>
    <row r="6" spans="2:12" ht="13.5" thickBot="1">
      <c r="J6" s="472"/>
    </row>
    <row r="7" spans="2:12" ht="39" thickBot="1">
      <c r="B7" s="474" t="s">
        <v>254</v>
      </c>
      <c r="C7" s="475" t="s">
        <v>381</v>
      </c>
      <c r="D7" s="475" t="s">
        <v>382</v>
      </c>
      <c r="E7" s="476" t="s">
        <v>95</v>
      </c>
      <c r="F7" s="476" t="s">
        <v>383</v>
      </c>
      <c r="G7" s="476" t="s">
        <v>384</v>
      </c>
      <c r="H7" s="476" t="s">
        <v>385</v>
      </c>
      <c r="I7" s="476" t="s">
        <v>386</v>
      </c>
      <c r="J7" s="477" t="s">
        <v>387</v>
      </c>
    </row>
    <row r="8" spans="2:12" ht="8.25" customHeight="1">
      <c r="B8" s="478"/>
      <c r="C8" s="479"/>
      <c r="D8" s="479"/>
      <c r="E8" s="480"/>
      <c r="F8" s="480"/>
      <c r="G8" s="480"/>
      <c r="H8" s="480"/>
      <c r="I8" s="480"/>
      <c r="J8" s="481"/>
    </row>
    <row r="9" spans="2:12">
      <c r="B9" s="482">
        <v>1</v>
      </c>
      <c r="C9" s="483" t="s">
        <v>316</v>
      </c>
      <c r="D9" s="483">
        <v>1</v>
      </c>
      <c r="E9" s="484"/>
      <c r="F9" s="484"/>
      <c r="G9" s="484"/>
      <c r="H9" s="484"/>
      <c r="I9" s="484"/>
      <c r="J9" s="485">
        <v>0.8</v>
      </c>
      <c r="K9" s="486"/>
    </row>
    <row r="10" spans="2:12">
      <c r="B10" s="482">
        <v>2</v>
      </c>
      <c r="C10" s="483" t="s">
        <v>317</v>
      </c>
      <c r="D10" s="483"/>
      <c r="E10" s="484"/>
      <c r="F10" s="484"/>
      <c r="G10" s="484"/>
      <c r="H10" s="484"/>
      <c r="I10" s="484"/>
      <c r="J10" s="485">
        <v>0</v>
      </c>
      <c r="K10" s="486"/>
    </row>
    <row r="11" spans="2:12">
      <c r="B11" s="482">
        <v>3</v>
      </c>
      <c r="C11" s="487" t="s">
        <v>318</v>
      </c>
      <c r="D11" s="487"/>
      <c r="E11" s="488" t="s">
        <v>301</v>
      </c>
      <c r="F11" s="484"/>
      <c r="G11" s="484"/>
      <c r="H11" s="488" t="s">
        <v>301</v>
      </c>
      <c r="I11" s="484"/>
      <c r="J11" s="485">
        <v>0.9</v>
      </c>
      <c r="K11" s="486"/>
    </row>
    <row r="12" spans="2:12">
      <c r="B12" s="482">
        <v>4</v>
      </c>
      <c r="C12" s="487" t="s">
        <v>319</v>
      </c>
      <c r="D12" s="487">
        <v>2</v>
      </c>
      <c r="E12" s="488" t="s">
        <v>301</v>
      </c>
      <c r="F12" s="484"/>
      <c r="G12" s="484"/>
      <c r="H12" s="484"/>
      <c r="I12" s="484"/>
      <c r="J12" s="485">
        <v>1</v>
      </c>
      <c r="K12" s="486"/>
    </row>
    <row r="13" spans="2:12">
      <c r="B13" s="482">
        <v>5</v>
      </c>
      <c r="C13" s="483" t="s">
        <v>320</v>
      </c>
      <c r="D13" s="483">
        <v>3</v>
      </c>
      <c r="E13" s="488"/>
      <c r="F13" s="488"/>
      <c r="G13" s="488" t="s">
        <v>301</v>
      </c>
      <c r="H13" s="488"/>
      <c r="I13" s="484"/>
      <c r="J13" s="485">
        <v>0.84</v>
      </c>
      <c r="K13" s="486"/>
    </row>
    <row r="14" spans="2:12">
      <c r="B14" s="482">
        <v>6</v>
      </c>
      <c r="C14" s="483" t="s">
        <v>321</v>
      </c>
      <c r="D14" s="483">
        <v>3</v>
      </c>
      <c r="E14" s="488"/>
      <c r="F14" s="488"/>
      <c r="G14" s="488"/>
      <c r="H14" s="488"/>
      <c r="I14" s="488" t="s">
        <v>301</v>
      </c>
      <c r="J14" s="485">
        <v>0.85</v>
      </c>
      <c r="K14" s="486"/>
    </row>
    <row r="15" spans="2:12">
      <c r="B15" s="482">
        <v>7</v>
      </c>
      <c r="C15" s="483" t="s">
        <v>322</v>
      </c>
      <c r="D15" s="483">
        <v>3</v>
      </c>
      <c r="E15" s="484"/>
      <c r="F15" s="488"/>
      <c r="G15" s="488"/>
      <c r="H15" s="488" t="s">
        <v>301</v>
      </c>
      <c r="I15" s="488"/>
      <c r="J15" s="485">
        <v>0.87</v>
      </c>
    </row>
    <row r="16" spans="2:12">
      <c r="B16" s="482">
        <v>8</v>
      </c>
      <c r="C16" s="483" t="s">
        <v>323</v>
      </c>
      <c r="D16" s="483">
        <v>3</v>
      </c>
      <c r="E16" s="488"/>
      <c r="F16" s="488"/>
      <c r="G16" s="488" t="s">
        <v>301</v>
      </c>
      <c r="H16" s="488"/>
      <c r="I16" s="488" t="s">
        <v>301</v>
      </c>
      <c r="J16" s="485">
        <v>0.87</v>
      </c>
    </row>
    <row r="17" spans="2:11">
      <c r="B17" s="482">
        <v>9</v>
      </c>
      <c r="C17" s="483" t="s">
        <v>324</v>
      </c>
      <c r="D17" s="483">
        <v>3</v>
      </c>
      <c r="E17" s="488"/>
      <c r="F17" s="488"/>
      <c r="G17" s="488" t="s">
        <v>301</v>
      </c>
      <c r="H17" s="488" t="s">
        <v>301</v>
      </c>
      <c r="I17" s="488"/>
      <c r="J17" s="485">
        <v>0.88</v>
      </c>
    </row>
    <row r="18" spans="2:11">
      <c r="B18" s="482">
        <v>10</v>
      </c>
      <c r="C18" s="483" t="s">
        <v>325</v>
      </c>
      <c r="D18" s="483">
        <v>4</v>
      </c>
      <c r="E18" s="488" t="s">
        <v>301</v>
      </c>
      <c r="F18" s="488"/>
      <c r="G18" s="488"/>
      <c r="H18" s="488" t="s">
        <v>301</v>
      </c>
      <c r="I18" s="488"/>
      <c r="J18" s="485">
        <v>0.9</v>
      </c>
      <c r="K18" s="486"/>
    </row>
    <row r="19" spans="2:11">
      <c r="B19" s="482">
        <v>11</v>
      </c>
      <c r="C19" s="483" t="s">
        <v>326</v>
      </c>
      <c r="D19" s="483">
        <v>4</v>
      </c>
      <c r="E19" s="488" t="s">
        <v>301</v>
      </c>
      <c r="F19" s="488"/>
      <c r="G19" s="488" t="s">
        <v>301</v>
      </c>
      <c r="H19" s="488" t="s">
        <v>301</v>
      </c>
      <c r="I19" s="488"/>
      <c r="J19" s="485">
        <v>0.92</v>
      </c>
      <c r="K19" s="486"/>
    </row>
    <row r="20" spans="2:11">
      <c r="B20" s="482">
        <v>12</v>
      </c>
      <c r="C20" s="483" t="s">
        <v>327</v>
      </c>
      <c r="D20" s="483"/>
      <c r="E20" s="484"/>
      <c r="F20" s="484"/>
      <c r="G20" s="484"/>
      <c r="H20" s="484"/>
      <c r="I20" s="484"/>
      <c r="J20" s="485">
        <v>0.8</v>
      </c>
      <c r="K20" s="486"/>
    </row>
    <row r="21" spans="2:11">
      <c r="B21" s="482">
        <v>13</v>
      </c>
      <c r="C21" s="483" t="s">
        <v>328</v>
      </c>
      <c r="D21" s="483"/>
      <c r="E21" s="484"/>
      <c r="F21" s="484"/>
      <c r="G21" s="484"/>
      <c r="H21" s="484"/>
      <c r="I21" s="484"/>
      <c r="J21" s="485">
        <v>0</v>
      </c>
      <c r="K21" s="486"/>
    </row>
    <row r="22" spans="2:11" ht="15.75" customHeight="1">
      <c r="B22" s="482">
        <v>14</v>
      </c>
      <c r="C22" s="487" t="s">
        <v>329</v>
      </c>
      <c r="D22" s="487">
        <v>3</v>
      </c>
      <c r="E22" s="484"/>
      <c r="F22" s="488"/>
      <c r="G22" s="488" t="s">
        <v>301</v>
      </c>
      <c r="H22" s="484"/>
      <c r="I22" s="484"/>
      <c r="J22" s="485">
        <v>0.84</v>
      </c>
      <c r="K22" s="486"/>
    </row>
    <row r="23" spans="2:11">
      <c r="B23" s="482">
        <v>15</v>
      </c>
      <c r="C23" s="487" t="s">
        <v>330</v>
      </c>
      <c r="D23" s="483">
        <v>3</v>
      </c>
      <c r="E23" s="484"/>
      <c r="F23" s="484"/>
      <c r="G23" s="484"/>
      <c r="H23" s="484"/>
      <c r="I23" s="488" t="s">
        <v>301</v>
      </c>
      <c r="J23" s="485">
        <v>0.85</v>
      </c>
      <c r="K23" s="486"/>
    </row>
    <row r="24" spans="2:11">
      <c r="B24" s="482">
        <v>16</v>
      </c>
      <c r="C24" s="487" t="s">
        <v>331</v>
      </c>
      <c r="D24" s="483">
        <v>3</v>
      </c>
      <c r="E24" s="484"/>
      <c r="F24" s="484"/>
      <c r="G24" s="484"/>
      <c r="H24" s="488" t="s">
        <v>301</v>
      </c>
      <c r="I24" s="488"/>
      <c r="J24" s="485">
        <v>0.87</v>
      </c>
    </row>
    <row r="25" spans="2:11">
      <c r="B25" s="482">
        <v>17</v>
      </c>
      <c r="C25" s="487" t="s">
        <v>332</v>
      </c>
      <c r="D25" s="483">
        <v>3</v>
      </c>
      <c r="E25" s="484"/>
      <c r="F25" s="488"/>
      <c r="G25" s="488" t="s">
        <v>301</v>
      </c>
      <c r="H25" s="484"/>
      <c r="I25" s="488" t="s">
        <v>301</v>
      </c>
      <c r="J25" s="485">
        <v>0.87</v>
      </c>
    </row>
    <row r="26" spans="2:11">
      <c r="B26" s="482">
        <v>18</v>
      </c>
      <c r="C26" s="487" t="s">
        <v>333</v>
      </c>
      <c r="D26" s="483">
        <v>3</v>
      </c>
      <c r="E26" s="484"/>
      <c r="F26" s="488"/>
      <c r="G26" s="488" t="s">
        <v>301</v>
      </c>
      <c r="H26" s="488" t="s">
        <v>301</v>
      </c>
      <c r="I26" s="488"/>
      <c r="J26" s="485">
        <v>0.88</v>
      </c>
    </row>
    <row r="27" spans="2:11">
      <c r="B27" s="482">
        <v>19</v>
      </c>
      <c r="C27" s="487" t="s">
        <v>334</v>
      </c>
      <c r="D27" s="487">
        <v>4</v>
      </c>
      <c r="E27" s="488" t="s">
        <v>301</v>
      </c>
      <c r="F27" s="488"/>
      <c r="G27" s="488"/>
      <c r="H27" s="488" t="s">
        <v>301</v>
      </c>
      <c r="I27" s="488"/>
      <c r="J27" s="485">
        <v>0.9</v>
      </c>
      <c r="K27" s="486"/>
    </row>
    <row r="28" spans="2:11">
      <c r="B28" s="482">
        <v>20</v>
      </c>
      <c r="C28" s="487" t="s">
        <v>335</v>
      </c>
      <c r="D28" s="487">
        <v>4</v>
      </c>
      <c r="E28" s="488" t="s">
        <v>301</v>
      </c>
      <c r="F28" s="488"/>
      <c r="G28" s="488" t="s">
        <v>301</v>
      </c>
      <c r="H28" s="488" t="s">
        <v>301</v>
      </c>
      <c r="I28" s="488"/>
      <c r="J28" s="485">
        <v>0.92</v>
      </c>
      <c r="K28" s="486"/>
    </row>
    <row r="29" spans="2:11">
      <c r="B29" s="482">
        <v>21</v>
      </c>
      <c r="C29" s="483" t="s">
        <v>336</v>
      </c>
      <c r="D29" s="483"/>
      <c r="E29" s="484"/>
      <c r="F29" s="488"/>
      <c r="G29" s="488"/>
      <c r="H29" s="488"/>
      <c r="I29" s="488"/>
      <c r="J29" s="485">
        <v>0.8</v>
      </c>
    </row>
    <row r="30" spans="2:11">
      <c r="B30" s="482">
        <v>22</v>
      </c>
      <c r="C30" s="483" t="s">
        <v>337</v>
      </c>
      <c r="D30" s="483"/>
      <c r="E30" s="484"/>
      <c r="F30" s="488" t="s">
        <v>301</v>
      </c>
      <c r="G30" s="488"/>
      <c r="H30" s="488"/>
      <c r="I30" s="488"/>
      <c r="J30" s="485">
        <v>1</v>
      </c>
    </row>
    <row r="31" spans="2:11">
      <c r="B31" s="482">
        <v>23</v>
      </c>
      <c r="C31" s="483" t="s">
        <v>338</v>
      </c>
      <c r="D31" s="483"/>
      <c r="E31" s="488"/>
      <c r="F31" s="488"/>
      <c r="G31" s="488"/>
      <c r="H31" s="488"/>
      <c r="I31" s="488"/>
      <c r="J31" s="485">
        <v>0.8</v>
      </c>
      <c r="K31" s="486"/>
    </row>
    <row r="32" spans="2:11">
      <c r="B32" s="482">
        <v>24</v>
      </c>
      <c r="C32" s="483" t="s">
        <v>339</v>
      </c>
      <c r="D32" s="483"/>
      <c r="E32" s="488"/>
      <c r="F32" s="488" t="s">
        <v>301</v>
      </c>
      <c r="G32" s="488"/>
      <c r="H32" s="488"/>
      <c r="I32" s="488"/>
      <c r="J32" s="485">
        <v>1</v>
      </c>
      <c r="K32" s="486"/>
    </row>
    <row r="33" spans="2:16">
      <c r="B33" s="482">
        <v>25</v>
      </c>
      <c r="C33" s="483" t="s">
        <v>340</v>
      </c>
      <c r="D33" s="483"/>
      <c r="E33" s="488"/>
      <c r="F33" s="488"/>
      <c r="G33" s="488"/>
      <c r="H33" s="488"/>
      <c r="I33" s="488"/>
      <c r="J33" s="485">
        <v>0.8</v>
      </c>
      <c r="K33" s="486"/>
    </row>
    <row r="34" spans="2:16" ht="13.5" thickBot="1">
      <c r="B34" s="489">
        <v>26</v>
      </c>
      <c r="C34" s="490" t="s">
        <v>341</v>
      </c>
      <c r="D34" s="490"/>
      <c r="E34" s="491"/>
      <c r="F34" s="491"/>
      <c r="G34" s="491"/>
      <c r="H34" s="491"/>
      <c r="I34" s="491"/>
      <c r="J34" s="492">
        <v>1</v>
      </c>
      <c r="K34" s="486"/>
    </row>
    <row r="35" spans="2:16">
      <c r="B35" s="493"/>
      <c r="C35" s="494"/>
      <c r="D35" s="494"/>
      <c r="E35" s="486"/>
      <c r="F35" s="486"/>
      <c r="G35" s="486"/>
      <c r="H35" s="486"/>
      <c r="I35" s="486"/>
      <c r="J35" s="495"/>
      <c r="K35" s="486"/>
    </row>
    <row r="36" spans="2:16">
      <c r="I36" s="496"/>
      <c r="P36" s="493"/>
    </row>
    <row r="37" spans="2:16">
      <c r="C37" s="497" t="s">
        <v>344</v>
      </c>
      <c r="D37" s="497"/>
    </row>
    <row r="38" spans="2:16" ht="15.75">
      <c r="B38" s="498"/>
      <c r="C38" s="499" t="s">
        <v>388</v>
      </c>
      <c r="D38" s="499"/>
      <c r="J38" s="472"/>
    </row>
    <row r="39" spans="2:16" ht="15.75">
      <c r="B39" s="498"/>
      <c r="C39" s="500" t="s">
        <v>389</v>
      </c>
      <c r="D39" s="500"/>
      <c r="J39" s="472"/>
    </row>
    <row r="40" spans="2:16" ht="15.75">
      <c r="C40" s="500" t="s">
        <v>390</v>
      </c>
      <c r="D40" s="500"/>
    </row>
    <row r="41" spans="2:16" ht="15.75">
      <c r="B41" s="498"/>
      <c r="C41" s="500" t="s">
        <v>391</v>
      </c>
      <c r="D41" s="500"/>
      <c r="J41" s="472"/>
    </row>
    <row r="42" spans="2:16">
      <c r="J42" s="472"/>
    </row>
    <row r="43" spans="2:16">
      <c r="B43" s="501"/>
      <c r="J43" s="472"/>
    </row>
    <row r="44" spans="2:16">
      <c r="J44" s="472"/>
    </row>
    <row r="45" spans="2:16" ht="8.25" customHeight="1">
      <c r="J45" s="472"/>
    </row>
    <row r="46" spans="2:16">
      <c r="J46" s="472"/>
    </row>
    <row r="47" spans="2:16">
      <c r="J47" s="472"/>
    </row>
    <row r="48" spans="2:16">
      <c r="J48" s="472"/>
    </row>
    <row r="49" spans="10:10">
      <c r="J49" s="472"/>
    </row>
  </sheetData>
  <mergeCells count="2">
    <mergeCell ref="B4:J4"/>
    <mergeCell ref="B5:J5"/>
  </mergeCells>
  <printOptions horizontalCentered="1"/>
  <pageMargins left="0.5" right="0.5" top="0.75" bottom="0.75" header="0.5" footer="0.5"/>
  <pageSetup scale="8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6"/>
  <sheetViews>
    <sheetView showGridLines="0" zoomScaleNormal="100" workbookViewId="0">
      <selection activeCell="K13" sqref="K13:K14"/>
    </sheetView>
  </sheetViews>
  <sheetFormatPr defaultRowHeight="12.75"/>
  <cols>
    <col min="1" max="1" width="2.7109375" style="234" customWidth="1"/>
    <col min="2" max="2" width="23.28515625" style="152" customWidth="1"/>
    <col min="3" max="3" width="20" style="152" customWidth="1"/>
    <col min="4" max="4" width="21" style="152" customWidth="1"/>
    <col min="5" max="5" width="19.85546875" style="152" customWidth="1"/>
    <col min="6" max="6" width="12.28515625" style="152" customWidth="1"/>
    <col min="7" max="7" width="15.28515625" style="152" customWidth="1"/>
    <col min="8" max="8" width="2.7109375" style="152" customWidth="1"/>
    <col min="9" max="9" width="10.7109375" style="152" customWidth="1"/>
    <col min="10" max="256" width="9.140625" style="152"/>
    <col min="257" max="257" width="2.7109375" style="152" customWidth="1"/>
    <col min="258" max="258" width="21.140625" style="152" customWidth="1"/>
    <col min="259" max="259" width="20" style="152" customWidth="1"/>
    <col min="260" max="260" width="21" style="152" customWidth="1"/>
    <col min="261" max="261" width="19.85546875" style="152" customWidth="1"/>
    <col min="262" max="262" width="12.28515625" style="152" customWidth="1"/>
    <col min="263" max="263" width="15.28515625" style="152" customWidth="1"/>
    <col min="264" max="264" width="2.7109375" style="152" customWidth="1"/>
    <col min="265" max="265" width="10.7109375" style="152" customWidth="1"/>
    <col min="266" max="512" width="9.140625" style="152"/>
    <col min="513" max="513" width="2.7109375" style="152" customWidth="1"/>
    <col min="514" max="514" width="21.140625" style="152" customWidth="1"/>
    <col min="515" max="515" width="20" style="152" customWidth="1"/>
    <col min="516" max="516" width="21" style="152" customWidth="1"/>
    <col min="517" max="517" width="19.85546875" style="152" customWidth="1"/>
    <col min="518" max="518" width="12.28515625" style="152" customWidth="1"/>
    <col min="519" max="519" width="15.28515625" style="152" customWidth="1"/>
    <col min="520" max="520" width="2.7109375" style="152" customWidth="1"/>
    <col min="521" max="521" width="10.7109375" style="152" customWidth="1"/>
    <col min="522" max="768" width="9.140625" style="152"/>
    <col min="769" max="769" width="2.7109375" style="152" customWidth="1"/>
    <col min="770" max="770" width="21.140625" style="152" customWidth="1"/>
    <col min="771" max="771" width="20" style="152" customWidth="1"/>
    <col min="772" max="772" width="21" style="152" customWidth="1"/>
    <col min="773" max="773" width="19.85546875" style="152" customWidth="1"/>
    <col min="774" max="774" width="12.28515625" style="152" customWidth="1"/>
    <col min="775" max="775" width="15.28515625" style="152" customWidth="1"/>
    <col min="776" max="776" width="2.7109375" style="152" customWidth="1"/>
    <col min="777" max="777" width="10.7109375" style="152" customWidth="1"/>
    <col min="778" max="1024" width="9.140625" style="152"/>
    <col min="1025" max="1025" width="2.7109375" style="152" customWidth="1"/>
    <col min="1026" max="1026" width="21.140625" style="152" customWidth="1"/>
    <col min="1027" max="1027" width="20" style="152" customWidth="1"/>
    <col min="1028" max="1028" width="21" style="152" customWidth="1"/>
    <col min="1029" max="1029" width="19.85546875" style="152" customWidth="1"/>
    <col min="1030" max="1030" width="12.28515625" style="152" customWidth="1"/>
    <col min="1031" max="1031" width="15.28515625" style="152" customWidth="1"/>
    <col min="1032" max="1032" width="2.7109375" style="152" customWidth="1"/>
    <col min="1033" max="1033" width="10.7109375" style="152" customWidth="1"/>
    <col min="1034" max="1280" width="9.140625" style="152"/>
    <col min="1281" max="1281" width="2.7109375" style="152" customWidth="1"/>
    <col min="1282" max="1282" width="21.140625" style="152" customWidth="1"/>
    <col min="1283" max="1283" width="20" style="152" customWidth="1"/>
    <col min="1284" max="1284" width="21" style="152" customWidth="1"/>
    <col min="1285" max="1285" width="19.85546875" style="152" customWidth="1"/>
    <col min="1286" max="1286" width="12.28515625" style="152" customWidth="1"/>
    <col min="1287" max="1287" width="15.28515625" style="152" customWidth="1"/>
    <col min="1288" max="1288" width="2.7109375" style="152" customWidth="1"/>
    <col min="1289" max="1289" width="10.7109375" style="152" customWidth="1"/>
    <col min="1290" max="1536" width="9.140625" style="152"/>
    <col min="1537" max="1537" width="2.7109375" style="152" customWidth="1"/>
    <col min="1538" max="1538" width="21.140625" style="152" customWidth="1"/>
    <col min="1539" max="1539" width="20" style="152" customWidth="1"/>
    <col min="1540" max="1540" width="21" style="152" customWidth="1"/>
    <col min="1541" max="1541" width="19.85546875" style="152" customWidth="1"/>
    <col min="1542" max="1542" width="12.28515625" style="152" customWidth="1"/>
    <col min="1543" max="1543" width="15.28515625" style="152" customWidth="1"/>
    <col min="1544" max="1544" width="2.7109375" style="152" customWidth="1"/>
    <col min="1545" max="1545" width="10.7109375" style="152" customWidth="1"/>
    <col min="1546" max="1792" width="9.140625" style="152"/>
    <col min="1793" max="1793" width="2.7109375" style="152" customWidth="1"/>
    <col min="1794" max="1794" width="21.140625" style="152" customWidth="1"/>
    <col min="1795" max="1795" width="20" style="152" customWidth="1"/>
    <col min="1796" max="1796" width="21" style="152" customWidth="1"/>
    <col min="1797" max="1797" width="19.85546875" style="152" customWidth="1"/>
    <col min="1798" max="1798" width="12.28515625" style="152" customWidth="1"/>
    <col min="1799" max="1799" width="15.28515625" style="152" customWidth="1"/>
    <col min="1800" max="1800" width="2.7109375" style="152" customWidth="1"/>
    <col min="1801" max="1801" width="10.7109375" style="152" customWidth="1"/>
    <col min="1802" max="2048" width="9.140625" style="152"/>
    <col min="2049" max="2049" width="2.7109375" style="152" customWidth="1"/>
    <col min="2050" max="2050" width="21.140625" style="152" customWidth="1"/>
    <col min="2051" max="2051" width="20" style="152" customWidth="1"/>
    <col min="2052" max="2052" width="21" style="152" customWidth="1"/>
    <col min="2053" max="2053" width="19.85546875" style="152" customWidth="1"/>
    <col min="2054" max="2054" width="12.28515625" style="152" customWidth="1"/>
    <col min="2055" max="2055" width="15.28515625" style="152" customWidth="1"/>
    <col min="2056" max="2056" width="2.7109375" style="152" customWidth="1"/>
    <col min="2057" max="2057" width="10.7109375" style="152" customWidth="1"/>
    <col min="2058" max="2304" width="9.140625" style="152"/>
    <col min="2305" max="2305" width="2.7109375" style="152" customWidth="1"/>
    <col min="2306" max="2306" width="21.140625" style="152" customWidth="1"/>
    <col min="2307" max="2307" width="20" style="152" customWidth="1"/>
    <col min="2308" max="2308" width="21" style="152" customWidth="1"/>
    <col min="2309" max="2309" width="19.85546875" style="152" customWidth="1"/>
    <col min="2310" max="2310" width="12.28515625" style="152" customWidth="1"/>
    <col min="2311" max="2311" width="15.28515625" style="152" customWidth="1"/>
    <col min="2312" max="2312" width="2.7109375" style="152" customWidth="1"/>
    <col min="2313" max="2313" width="10.7109375" style="152" customWidth="1"/>
    <col min="2314" max="2560" width="9.140625" style="152"/>
    <col min="2561" max="2561" width="2.7109375" style="152" customWidth="1"/>
    <col min="2562" max="2562" width="21.140625" style="152" customWidth="1"/>
    <col min="2563" max="2563" width="20" style="152" customWidth="1"/>
    <col min="2564" max="2564" width="21" style="152" customWidth="1"/>
    <col min="2565" max="2565" width="19.85546875" style="152" customWidth="1"/>
    <col min="2566" max="2566" width="12.28515625" style="152" customWidth="1"/>
    <col min="2567" max="2567" width="15.28515625" style="152" customWidth="1"/>
    <col min="2568" max="2568" width="2.7109375" style="152" customWidth="1"/>
    <col min="2569" max="2569" width="10.7109375" style="152" customWidth="1"/>
    <col min="2570" max="2816" width="9.140625" style="152"/>
    <col min="2817" max="2817" width="2.7109375" style="152" customWidth="1"/>
    <col min="2818" max="2818" width="21.140625" style="152" customWidth="1"/>
    <col min="2819" max="2819" width="20" style="152" customWidth="1"/>
    <col min="2820" max="2820" width="21" style="152" customWidth="1"/>
    <col min="2821" max="2821" width="19.85546875" style="152" customWidth="1"/>
    <col min="2822" max="2822" width="12.28515625" style="152" customWidth="1"/>
    <col min="2823" max="2823" width="15.28515625" style="152" customWidth="1"/>
    <col min="2824" max="2824" width="2.7109375" style="152" customWidth="1"/>
    <col min="2825" max="2825" width="10.7109375" style="152" customWidth="1"/>
    <col min="2826" max="3072" width="9.140625" style="152"/>
    <col min="3073" max="3073" width="2.7109375" style="152" customWidth="1"/>
    <col min="3074" max="3074" width="21.140625" style="152" customWidth="1"/>
    <col min="3075" max="3075" width="20" style="152" customWidth="1"/>
    <col min="3076" max="3076" width="21" style="152" customWidth="1"/>
    <col min="3077" max="3077" width="19.85546875" style="152" customWidth="1"/>
    <col min="3078" max="3078" width="12.28515625" style="152" customWidth="1"/>
    <col min="3079" max="3079" width="15.28515625" style="152" customWidth="1"/>
    <col min="3080" max="3080" width="2.7109375" style="152" customWidth="1"/>
    <col min="3081" max="3081" width="10.7109375" style="152" customWidth="1"/>
    <col min="3082" max="3328" width="9.140625" style="152"/>
    <col min="3329" max="3329" width="2.7109375" style="152" customWidth="1"/>
    <col min="3330" max="3330" width="21.140625" style="152" customWidth="1"/>
    <col min="3331" max="3331" width="20" style="152" customWidth="1"/>
    <col min="3332" max="3332" width="21" style="152" customWidth="1"/>
    <col min="3333" max="3333" width="19.85546875" style="152" customWidth="1"/>
    <col min="3334" max="3334" width="12.28515625" style="152" customWidth="1"/>
    <col min="3335" max="3335" width="15.28515625" style="152" customWidth="1"/>
    <col min="3336" max="3336" width="2.7109375" style="152" customWidth="1"/>
    <col min="3337" max="3337" width="10.7109375" style="152" customWidth="1"/>
    <col min="3338" max="3584" width="9.140625" style="152"/>
    <col min="3585" max="3585" width="2.7109375" style="152" customWidth="1"/>
    <col min="3586" max="3586" width="21.140625" style="152" customWidth="1"/>
    <col min="3587" max="3587" width="20" style="152" customWidth="1"/>
    <col min="3588" max="3588" width="21" style="152" customWidth="1"/>
    <col min="3589" max="3589" width="19.85546875" style="152" customWidth="1"/>
    <col min="3590" max="3590" width="12.28515625" style="152" customWidth="1"/>
    <col min="3591" max="3591" width="15.28515625" style="152" customWidth="1"/>
    <col min="3592" max="3592" width="2.7109375" style="152" customWidth="1"/>
    <col min="3593" max="3593" width="10.7109375" style="152" customWidth="1"/>
    <col min="3594" max="3840" width="9.140625" style="152"/>
    <col min="3841" max="3841" width="2.7109375" style="152" customWidth="1"/>
    <col min="3842" max="3842" width="21.140625" style="152" customWidth="1"/>
    <col min="3843" max="3843" width="20" style="152" customWidth="1"/>
    <col min="3844" max="3844" width="21" style="152" customWidth="1"/>
    <col min="3845" max="3845" width="19.85546875" style="152" customWidth="1"/>
    <col min="3846" max="3846" width="12.28515625" style="152" customWidth="1"/>
    <col min="3847" max="3847" width="15.28515625" style="152" customWidth="1"/>
    <col min="3848" max="3848" width="2.7109375" style="152" customWidth="1"/>
    <col min="3849" max="3849" width="10.7109375" style="152" customWidth="1"/>
    <col min="3850" max="4096" width="9.140625" style="152"/>
    <col min="4097" max="4097" width="2.7109375" style="152" customWidth="1"/>
    <col min="4098" max="4098" width="21.140625" style="152" customWidth="1"/>
    <col min="4099" max="4099" width="20" style="152" customWidth="1"/>
    <col min="4100" max="4100" width="21" style="152" customWidth="1"/>
    <col min="4101" max="4101" width="19.85546875" style="152" customWidth="1"/>
    <col min="4102" max="4102" width="12.28515625" style="152" customWidth="1"/>
    <col min="4103" max="4103" width="15.28515625" style="152" customWidth="1"/>
    <col min="4104" max="4104" width="2.7109375" style="152" customWidth="1"/>
    <col min="4105" max="4105" width="10.7109375" style="152" customWidth="1"/>
    <col min="4106" max="4352" width="9.140625" style="152"/>
    <col min="4353" max="4353" width="2.7109375" style="152" customWidth="1"/>
    <col min="4354" max="4354" width="21.140625" style="152" customWidth="1"/>
    <col min="4355" max="4355" width="20" style="152" customWidth="1"/>
    <col min="4356" max="4356" width="21" style="152" customWidth="1"/>
    <col min="4357" max="4357" width="19.85546875" style="152" customWidth="1"/>
    <col min="4358" max="4358" width="12.28515625" style="152" customWidth="1"/>
    <col min="4359" max="4359" width="15.28515625" style="152" customWidth="1"/>
    <col min="4360" max="4360" width="2.7109375" style="152" customWidth="1"/>
    <col min="4361" max="4361" width="10.7109375" style="152" customWidth="1"/>
    <col min="4362" max="4608" width="9.140625" style="152"/>
    <col min="4609" max="4609" width="2.7109375" style="152" customWidth="1"/>
    <col min="4610" max="4610" width="21.140625" style="152" customWidth="1"/>
    <col min="4611" max="4611" width="20" style="152" customWidth="1"/>
    <col min="4612" max="4612" width="21" style="152" customWidth="1"/>
    <col min="4613" max="4613" width="19.85546875" style="152" customWidth="1"/>
    <col min="4614" max="4614" width="12.28515625" style="152" customWidth="1"/>
    <col min="4615" max="4615" width="15.28515625" style="152" customWidth="1"/>
    <col min="4616" max="4616" width="2.7109375" style="152" customWidth="1"/>
    <col min="4617" max="4617" width="10.7109375" style="152" customWidth="1"/>
    <col min="4618" max="4864" width="9.140625" style="152"/>
    <col min="4865" max="4865" width="2.7109375" style="152" customWidth="1"/>
    <col min="4866" max="4866" width="21.140625" style="152" customWidth="1"/>
    <col min="4867" max="4867" width="20" style="152" customWidth="1"/>
    <col min="4868" max="4868" width="21" style="152" customWidth="1"/>
    <col min="4869" max="4869" width="19.85546875" style="152" customWidth="1"/>
    <col min="4870" max="4870" width="12.28515625" style="152" customWidth="1"/>
    <col min="4871" max="4871" width="15.28515625" style="152" customWidth="1"/>
    <col min="4872" max="4872" width="2.7109375" style="152" customWidth="1"/>
    <col min="4873" max="4873" width="10.7109375" style="152" customWidth="1"/>
    <col min="4874" max="5120" width="9.140625" style="152"/>
    <col min="5121" max="5121" width="2.7109375" style="152" customWidth="1"/>
    <col min="5122" max="5122" width="21.140625" style="152" customWidth="1"/>
    <col min="5123" max="5123" width="20" style="152" customWidth="1"/>
    <col min="5124" max="5124" width="21" style="152" customWidth="1"/>
    <col min="5125" max="5125" width="19.85546875" style="152" customWidth="1"/>
    <col min="5126" max="5126" width="12.28515625" style="152" customWidth="1"/>
    <col min="5127" max="5127" width="15.28515625" style="152" customWidth="1"/>
    <col min="5128" max="5128" width="2.7109375" style="152" customWidth="1"/>
    <col min="5129" max="5129" width="10.7109375" style="152" customWidth="1"/>
    <col min="5130" max="5376" width="9.140625" style="152"/>
    <col min="5377" max="5377" width="2.7109375" style="152" customWidth="1"/>
    <col min="5378" max="5378" width="21.140625" style="152" customWidth="1"/>
    <col min="5379" max="5379" width="20" style="152" customWidth="1"/>
    <col min="5380" max="5380" width="21" style="152" customWidth="1"/>
    <col min="5381" max="5381" width="19.85546875" style="152" customWidth="1"/>
    <col min="5382" max="5382" width="12.28515625" style="152" customWidth="1"/>
    <col min="5383" max="5383" width="15.28515625" style="152" customWidth="1"/>
    <col min="5384" max="5384" width="2.7109375" style="152" customWidth="1"/>
    <col min="5385" max="5385" width="10.7109375" style="152" customWidth="1"/>
    <col min="5386" max="5632" width="9.140625" style="152"/>
    <col min="5633" max="5633" width="2.7109375" style="152" customWidth="1"/>
    <col min="5634" max="5634" width="21.140625" style="152" customWidth="1"/>
    <col min="5635" max="5635" width="20" style="152" customWidth="1"/>
    <col min="5636" max="5636" width="21" style="152" customWidth="1"/>
    <col min="5637" max="5637" width="19.85546875" style="152" customWidth="1"/>
    <col min="5638" max="5638" width="12.28515625" style="152" customWidth="1"/>
    <col min="5639" max="5639" width="15.28515625" style="152" customWidth="1"/>
    <col min="5640" max="5640" width="2.7109375" style="152" customWidth="1"/>
    <col min="5641" max="5641" width="10.7109375" style="152" customWidth="1"/>
    <col min="5642" max="5888" width="9.140625" style="152"/>
    <col min="5889" max="5889" width="2.7109375" style="152" customWidth="1"/>
    <col min="5890" max="5890" width="21.140625" style="152" customWidth="1"/>
    <col min="5891" max="5891" width="20" style="152" customWidth="1"/>
    <col min="5892" max="5892" width="21" style="152" customWidth="1"/>
    <col min="5893" max="5893" width="19.85546875" style="152" customWidth="1"/>
    <col min="5894" max="5894" width="12.28515625" style="152" customWidth="1"/>
    <col min="5895" max="5895" width="15.28515625" style="152" customWidth="1"/>
    <col min="5896" max="5896" width="2.7109375" style="152" customWidth="1"/>
    <col min="5897" max="5897" width="10.7109375" style="152" customWidth="1"/>
    <col min="5898" max="6144" width="9.140625" style="152"/>
    <col min="6145" max="6145" width="2.7109375" style="152" customWidth="1"/>
    <col min="6146" max="6146" width="21.140625" style="152" customWidth="1"/>
    <col min="6147" max="6147" width="20" style="152" customWidth="1"/>
    <col min="6148" max="6148" width="21" style="152" customWidth="1"/>
    <col min="6149" max="6149" width="19.85546875" style="152" customWidth="1"/>
    <col min="6150" max="6150" width="12.28515625" style="152" customWidth="1"/>
    <col min="6151" max="6151" width="15.28515625" style="152" customWidth="1"/>
    <col min="6152" max="6152" width="2.7109375" style="152" customWidth="1"/>
    <col min="6153" max="6153" width="10.7109375" style="152" customWidth="1"/>
    <col min="6154" max="6400" width="9.140625" style="152"/>
    <col min="6401" max="6401" width="2.7109375" style="152" customWidth="1"/>
    <col min="6402" max="6402" width="21.140625" style="152" customWidth="1"/>
    <col min="6403" max="6403" width="20" style="152" customWidth="1"/>
    <col min="6404" max="6404" width="21" style="152" customWidth="1"/>
    <col min="6405" max="6405" width="19.85546875" style="152" customWidth="1"/>
    <col min="6406" max="6406" width="12.28515625" style="152" customWidth="1"/>
    <col min="6407" max="6407" width="15.28515625" style="152" customWidth="1"/>
    <col min="6408" max="6408" width="2.7109375" style="152" customWidth="1"/>
    <col min="6409" max="6409" width="10.7109375" style="152" customWidth="1"/>
    <col min="6410" max="6656" width="9.140625" style="152"/>
    <col min="6657" max="6657" width="2.7109375" style="152" customWidth="1"/>
    <col min="6658" max="6658" width="21.140625" style="152" customWidth="1"/>
    <col min="6659" max="6659" width="20" style="152" customWidth="1"/>
    <col min="6660" max="6660" width="21" style="152" customWidth="1"/>
    <col min="6661" max="6661" width="19.85546875" style="152" customWidth="1"/>
    <col min="6662" max="6662" width="12.28515625" style="152" customWidth="1"/>
    <col min="6663" max="6663" width="15.28515625" style="152" customWidth="1"/>
    <col min="6664" max="6664" width="2.7109375" style="152" customWidth="1"/>
    <col min="6665" max="6665" width="10.7109375" style="152" customWidth="1"/>
    <col min="6666" max="6912" width="9.140625" style="152"/>
    <col min="6913" max="6913" width="2.7109375" style="152" customWidth="1"/>
    <col min="6914" max="6914" width="21.140625" style="152" customWidth="1"/>
    <col min="6915" max="6915" width="20" style="152" customWidth="1"/>
    <col min="6916" max="6916" width="21" style="152" customWidth="1"/>
    <col min="6917" max="6917" width="19.85546875" style="152" customWidth="1"/>
    <col min="6918" max="6918" width="12.28515625" style="152" customWidth="1"/>
    <col min="6919" max="6919" width="15.28515625" style="152" customWidth="1"/>
    <col min="6920" max="6920" width="2.7109375" style="152" customWidth="1"/>
    <col min="6921" max="6921" width="10.7109375" style="152" customWidth="1"/>
    <col min="6922" max="7168" width="9.140625" style="152"/>
    <col min="7169" max="7169" width="2.7109375" style="152" customWidth="1"/>
    <col min="7170" max="7170" width="21.140625" style="152" customWidth="1"/>
    <col min="7171" max="7171" width="20" style="152" customWidth="1"/>
    <col min="7172" max="7172" width="21" style="152" customWidth="1"/>
    <col min="7173" max="7173" width="19.85546875" style="152" customWidth="1"/>
    <col min="7174" max="7174" width="12.28515625" style="152" customWidth="1"/>
    <col min="7175" max="7175" width="15.28515625" style="152" customWidth="1"/>
    <col min="7176" max="7176" width="2.7109375" style="152" customWidth="1"/>
    <col min="7177" max="7177" width="10.7109375" style="152" customWidth="1"/>
    <col min="7178" max="7424" width="9.140625" style="152"/>
    <col min="7425" max="7425" width="2.7109375" style="152" customWidth="1"/>
    <col min="7426" max="7426" width="21.140625" style="152" customWidth="1"/>
    <col min="7427" max="7427" width="20" style="152" customWidth="1"/>
    <col min="7428" max="7428" width="21" style="152" customWidth="1"/>
    <col min="7429" max="7429" width="19.85546875" style="152" customWidth="1"/>
    <col min="7430" max="7430" width="12.28515625" style="152" customWidth="1"/>
    <col min="7431" max="7431" width="15.28515625" style="152" customWidth="1"/>
    <col min="7432" max="7432" width="2.7109375" style="152" customWidth="1"/>
    <col min="7433" max="7433" width="10.7109375" style="152" customWidth="1"/>
    <col min="7434" max="7680" width="9.140625" style="152"/>
    <col min="7681" max="7681" width="2.7109375" style="152" customWidth="1"/>
    <col min="7682" max="7682" width="21.140625" style="152" customWidth="1"/>
    <col min="7683" max="7683" width="20" style="152" customWidth="1"/>
    <col min="7684" max="7684" width="21" style="152" customWidth="1"/>
    <col min="7685" max="7685" width="19.85546875" style="152" customWidth="1"/>
    <col min="7686" max="7686" width="12.28515625" style="152" customWidth="1"/>
    <col min="7687" max="7687" width="15.28515625" style="152" customWidth="1"/>
    <col min="7688" max="7688" width="2.7109375" style="152" customWidth="1"/>
    <col min="7689" max="7689" width="10.7109375" style="152" customWidth="1"/>
    <col min="7690" max="7936" width="9.140625" style="152"/>
    <col min="7937" max="7937" width="2.7109375" style="152" customWidth="1"/>
    <col min="7938" max="7938" width="21.140625" style="152" customWidth="1"/>
    <col min="7939" max="7939" width="20" style="152" customWidth="1"/>
    <col min="7940" max="7940" width="21" style="152" customWidth="1"/>
    <col min="7941" max="7941" width="19.85546875" style="152" customWidth="1"/>
    <col min="7942" max="7942" width="12.28515625" style="152" customWidth="1"/>
    <col min="7943" max="7943" width="15.28515625" style="152" customWidth="1"/>
    <col min="7944" max="7944" width="2.7109375" style="152" customWidth="1"/>
    <col min="7945" max="7945" width="10.7109375" style="152" customWidth="1"/>
    <col min="7946" max="8192" width="9.140625" style="152"/>
    <col min="8193" max="8193" width="2.7109375" style="152" customWidth="1"/>
    <col min="8194" max="8194" width="21.140625" style="152" customWidth="1"/>
    <col min="8195" max="8195" width="20" style="152" customWidth="1"/>
    <col min="8196" max="8196" width="21" style="152" customWidth="1"/>
    <col min="8197" max="8197" width="19.85546875" style="152" customWidth="1"/>
    <col min="8198" max="8198" width="12.28515625" style="152" customWidth="1"/>
    <col min="8199" max="8199" width="15.28515625" style="152" customWidth="1"/>
    <col min="8200" max="8200" width="2.7109375" style="152" customWidth="1"/>
    <col min="8201" max="8201" width="10.7109375" style="152" customWidth="1"/>
    <col min="8202" max="8448" width="9.140625" style="152"/>
    <col min="8449" max="8449" width="2.7109375" style="152" customWidth="1"/>
    <col min="8450" max="8450" width="21.140625" style="152" customWidth="1"/>
    <col min="8451" max="8451" width="20" style="152" customWidth="1"/>
    <col min="8452" max="8452" width="21" style="152" customWidth="1"/>
    <col min="8453" max="8453" width="19.85546875" style="152" customWidth="1"/>
    <col min="8454" max="8454" width="12.28515625" style="152" customWidth="1"/>
    <col min="8455" max="8455" width="15.28515625" style="152" customWidth="1"/>
    <col min="8456" max="8456" width="2.7109375" style="152" customWidth="1"/>
    <col min="8457" max="8457" width="10.7109375" style="152" customWidth="1"/>
    <col min="8458" max="8704" width="9.140625" style="152"/>
    <col min="8705" max="8705" width="2.7109375" style="152" customWidth="1"/>
    <col min="8706" max="8706" width="21.140625" style="152" customWidth="1"/>
    <col min="8707" max="8707" width="20" style="152" customWidth="1"/>
    <col min="8708" max="8708" width="21" style="152" customWidth="1"/>
    <col min="8709" max="8709" width="19.85546875" style="152" customWidth="1"/>
    <col min="8710" max="8710" width="12.28515625" style="152" customWidth="1"/>
    <col min="8711" max="8711" width="15.28515625" style="152" customWidth="1"/>
    <col min="8712" max="8712" width="2.7109375" style="152" customWidth="1"/>
    <col min="8713" max="8713" width="10.7109375" style="152" customWidth="1"/>
    <col min="8714" max="8960" width="9.140625" style="152"/>
    <col min="8961" max="8961" width="2.7109375" style="152" customWidth="1"/>
    <col min="8962" max="8962" width="21.140625" style="152" customWidth="1"/>
    <col min="8963" max="8963" width="20" style="152" customWidth="1"/>
    <col min="8964" max="8964" width="21" style="152" customWidth="1"/>
    <col min="8965" max="8965" width="19.85546875" style="152" customWidth="1"/>
    <col min="8966" max="8966" width="12.28515625" style="152" customWidth="1"/>
    <col min="8967" max="8967" width="15.28515625" style="152" customWidth="1"/>
    <col min="8968" max="8968" width="2.7109375" style="152" customWidth="1"/>
    <col min="8969" max="8969" width="10.7109375" style="152" customWidth="1"/>
    <col min="8970" max="9216" width="9.140625" style="152"/>
    <col min="9217" max="9217" width="2.7109375" style="152" customWidth="1"/>
    <col min="9218" max="9218" width="21.140625" style="152" customWidth="1"/>
    <col min="9219" max="9219" width="20" style="152" customWidth="1"/>
    <col min="9220" max="9220" width="21" style="152" customWidth="1"/>
    <col min="9221" max="9221" width="19.85546875" style="152" customWidth="1"/>
    <col min="9222" max="9222" width="12.28515625" style="152" customWidth="1"/>
    <col min="9223" max="9223" width="15.28515625" style="152" customWidth="1"/>
    <col min="9224" max="9224" width="2.7109375" style="152" customWidth="1"/>
    <col min="9225" max="9225" width="10.7109375" style="152" customWidth="1"/>
    <col min="9226" max="9472" width="9.140625" style="152"/>
    <col min="9473" max="9473" width="2.7109375" style="152" customWidth="1"/>
    <col min="9474" max="9474" width="21.140625" style="152" customWidth="1"/>
    <col min="9475" max="9475" width="20" style="152" customWidth="1"/>
    <col min="9476" max="9476" width="21" style="152" customWidth="1"/>
    <col min="9477" max="9477" width="19.85546875" style="152" customWidth="1"/>
    <col min="9478" max="9478" width="12.28515625" style="152" customWidth="1"/>
    <col min="9479" max="9479" width="15.28515625" style="152" customWidth="1"/>
    <col min="9480" max="9480" width="2.7109375" style="152" customWidth="1"/>
    <col min="9481" max="9481" width="10.7109375" style="152" customWidth="1"/>
    <col min="9482" max="9728" width="9.140625" style="152"/>
    <col min="9729" max="9729" width="2.7109375" style="152" customWidth="1"/>
    <col min="9730" max="9730" width="21.140625" style="152" customWidth="1"/>
    <col min="9731" max="9731" width="20" style="152" customWidth="1"/>
    <col min="9732" max="9732" width="21" style="152" customWidth="1"/>
    <col min="9733" max="9733" width="19.85546875" style="152" customWidth="1"/>
    <col min="9734" max="9734" width="12.28515625" style="152" customWidth="1"/>
    <col min="9735" max="9735" width="15.28515625" style="152" customWidth="1"/>
    <col min="9736" max="9736" width="2.7109375" style="152" customWidth="1"/>
    <col min="9737" max="9737" width="10.7109375" style="152" customWidth="1"/>
    <col min="9738" max="9984" width="9.140625" style="152"/>
    <col min="9985" max="9985" width="2.7109375" style="152" customWidth="1"/>
    <col min="9986" max="9986" width="21.140625" style="152" customWidth="1"/>
    <col min="9987" max="9987" width="20" style="152" customWidth="1"/>
    <col min="9988" max="9988" width="21" style="152" customWidth="1"/>
    <col min="9989" max="9989" width="19.85546875" style="152" customWidth="1"/>
    <col min="9990" max="9990" width="12.28515625" style="152" customWidth="1"/>
    <col min="9991" max="9991" width="15.28515625" style="152" customWidth="1"/>
    <col min="9992" max="9992" width="2.7109375" style="152" customWidth="1"/>
    <col min="9993" max="9993" width="10.7109375" style="152" customWidth="1"/>
    <col min="9994" max="10240" width="9.140625" style="152"/>
    <col min="10241" max="10241" width="2.7109375" style="152" customWidth="1"/>
    <col min="10242" max="10242" width="21.140625" style="152" customWidth="1"/>
    <col min="10243" max="10243" width="20" style="152" customWidth="1"/>
    <col min="10244" max="10244" width="21" style="152" customWidth="1"/>
    <col min="10245" max="10245" width="19.85546875" style="152" customWidth="1"/>
    <col min="10246" max="10246" width="12.28515625" style="152" customWidth="1"/>
    <col min="10247" max="10247" width="15.28515625" style="152" customWidth="1"/>
    <col min="10248" max="10248" width="2.7109375" style="152" customWidth="1"/>
    <col min="10249" max="10249" width="10.7109375" style="152" customWidth="1"/>
    <col min="10250" max="10496" width="9.140625" style="152"/>
    <col min="10497" max="10497" width="2.7109375" style="152" customWidth="1"/>
    <col min="10498" max="10498" width="21.140625" style="152" customWidth="1"/>
    <col min="10499" max="10499" width="20" style="152" customWidth="1"/>
    <col min="10500" max="10500" width="21" style="152" customWidth="1"/>
    <col min="10501" max="10501" width="19.85546875" style="152" customWidth="1"/>
    <col min="10502" max="10502" width="12.28515625" style="152" customWidth="1"/>
    <col min="10503" max="10503" width="15.28515625" style="152" customWidth="1"/>
    <col min="10504" max="10504" width="2.7109375" style="152" customWidth="1"/>
    <col min="10505" max="10505" width="10.7109375" style="152" customWidth="1"/>
    <col min="10506" max="10752" width="9.140625" style="152"/>
    <col min="10753" max="10753" width="2.7109375" style="152" customWidth="1"/>
    <col min="10754" max="10754" width="21.140625" style="152" customWidth="1"/>
    <col min="10755" max="10755" width="20" style="152" customWidth="1"/>
    <col min="10756" max="10756" width="21" style="152" customWidth="1"/>
    <col min="10757" max="10757" width="19.85546875" style="152" customWidth="1"/>
    <col min="10758" max="10758" width="12.28515625" style="152" customWidth="1"/>
    <col min="10759" max="10759" width="15.28515625" style="152" customWidth="1"/>
    <col min="10760" max="10760" width="2.7109375" style="152" customWidth="1"/>
    <col min="10761" max="10761" width="10.7109375" style="152" customWidth="1"/>
    <col min="10762" max="11008" width="9.140625" style="152"/>
    <col min="11009" max="11009" width="2.7109375" style="152" customWidth="1"/>
    <col min="11010" max="11010" width="21.140625" style="152" customWidth="1"/>
    <col min="11011" max="11011" width="20" style="152" customWidth="1"/>
    <col min="11012" max="11012" width="21" style="152" customWidth="1"/>
    <col min="11013" max="11013" width="19.85546875" style="152" customWidth="1"/>
    <col min="11014" max="11014" width="12.28515625" style="152" customWidth="1"/>
    <col min="11015" max="11015" width="15.28515625" style="152" customWidth="1"/>
    <col min="11016" max="11016" width="2.7109375" style="152" customWidth="1"/>
    <col min="11017" max="11017" width="10.7109375" style="152" customWidth="1"/>
    <col min="11018" max="11264" width="9.140625" style="152"/>
    <col min="11265" max="11265" width="2.7109375" style="152" customWidth="1"/>
    <col min="11266" max="11266" width="21.140625" style="152" customWidth="1"/>
    <col min="11267" max="11267" width="20" style="152" customWidth="1"/>
    <col min="11268" max="11268" width="21" style="152" customWidth="1"/>
    <col min="11269" max="11269" width="19.85546875" style="152" customWidth="1"/>
    <col min="11270" max="11270" width="12.28515625" style="152" customWidth="1"/>
    <col min="11271" max="11271" width="15.28515625" style="152" customWidth="1"/>
    <col min="11272" max="11272" width="2.7109375" style="152" customWidth="1"/>
    <col min="11273" max="11273" width="10.7109375" style="152" customWidth="1"/>
    <col min="11274" max="11520" width="9.140625" style="152"/>
    <col min="11521" max="11521" width="2.7109375" style="152" customWidth="1"/>
    <col min="11522" max="11522" width="21.140625" style="152" customWidth="1"/>
    <col min="11523" max="11523" width="20" style="152" customWidth="1"/>
    <col min="11524" max="11524" width="21" style="152" customWidth="1"/>
    <col min="11525" max="11525" width="19.85546875" style="152" customWidth="1"/>
    <col min="11526" max="11526" width="12.28515625" style="152" customWidth="1"/>
    <col min="11527" max="11527" width="15.28515625" style="152" customWidth="1"/>
    <col min="11528" max="11528" width="2.7109375" style="152" customWidth="1"/>
    <col min="11529" max="11529" width="10.7109375" style="152" customWidth="1"/>
    <col min="11530" max="11776" width="9.140625" style="152"/>
    <col min="11777" max="11777" width="2.7109375" style="152" customWidth="1"/>
    <col min="11778" max="11778" width="21.140625" style="152" customWidth="1"/>
    <col min="11779" max="11779" width="20" style="152" customWidth="1"/>
    <col min="11780" max="11780" width="21" style="152" customWidth="1"/>
    <col min="11781" max="11781" width="19.85546875" style="152" customWidth="1"/>
    <col min="11782" max="11782" width="12.28515625" style="152" customWidth="1"/>
    <col min="11783" max="11783" width="15.28515625" style="152" customWidth="1"/>
    <col min="11784" max="11784" width="2.7109375" style="152" customWidth="1"/>
    <col min="11785" max="11785" width="10.7109375" style="152" customWidth="1"/>
    <col min="11786" max="12032" width="9.140625" style="152"/>
    <col min="12033" max="12033" width="2.7109375" style="152" customWidth="1"/>
    <col min="12034" max="12034" width="21.140625" style="152" customWidth="1"/>
    <col min="12035" max="12035" width="20" style="152" customWidth="1"/>
    <col min="12036" max="12036" width="21" style="152" customWidth="1"/>
    <col min="12037" max="12037" width="19.85546875" style="152" customWidth="1"/>
    <col min="12038" max="12038" width="12.28515625" style="152" customWidth="1"/>
    <col min="12039" max="12039" width="15.28515625" style="152" customWidth="1"/>
    <col min="12040" max="12040" width="2.7109375" style="152" customWidth="1"/>
    <col min="12041" max="12041" width="10.7109375" style="152" customWidth="1"/>
    <col min="12042" max="12288" width="9.140625" style="152"/>
    <col min="12289" max="12289" width="2.7109375" style="152" customWidth="1"/>
    <col min="12290" max="12290" width="21.140625" style="152" customWidth="1"/>
    <col min="12291" max="12291" width="20" style="152" customWidth="1"/>
    <col min="12292" max="12292" width="21" style="152" customWidth="1"/>
    <col min="12293" max="12293" width="19.85546875" style="152" customWidth="1"/>
    <col min="12294" max="12294" width="12.28515625" style="152" customWidth="1"/>
    <col min="12295" max="12295" width="15.28515625" style="152" customWidth="1"/>
    <col min="12296" max="12296" width="2.7109375" style="152" customWidth="1"/>
    <col min="12297" max="12297" width="10.7109375" style="152" customWidth="1"/>
    <col min="12298" max="12544" width="9.140625" style="152"/>
    <col min="12545" max="12545" width="2.7109375" style="152" customWidth="1"/>
    <col min="12546" max="12546" width="21.140625" style="152" customWidth="1"/>
    <col min="12547" max="12547" width="20" style="152" customWidth="1"/>
    <col min="12548" max="12548" width="21" style="152" customWidth="1"/>
    <col min="12549" max="12549" width="19.85546875" style="152" customWidth="1"/>
    <col min="12550" max="12550" width="12.28515625" style="152" customWidth="1"/>
    <col min="12551" max="12551" width="15.28515625" style="152" customWidth="1"/>
    <col min="12552" max="12552" width="2.7109375" style="152" customWidth="1"/>
    <col min="12553" max="12553" width="10.7109375" style="152" customWidth="1"/>
    <col min="12554" max="12800" width="9.140625" style="152"/>
    <col min="12801" max="12801" width="2.7109375" style="152" customWidth="1"/>
    <col min="12802" max="12802" width="21.140625" style="152" customWidth="1"/>
    <col min="12803" max="12803" width="20" style="152" customWidth="1"/>
    <col min="12804" max="12804" width="21" style="152" customWidth="1"/>
    <col min="12805" max="12805" width="19.85546875" style="152" customWidth="1"/>
    <col min="12806" max="12806" width="12.28515625" style="152" customWidth="1"/>
    <col min="12807" max="12807" width="15.28515625" style="152" customWidth="1"/>
    <col min="12808" max="12808" width="2.7109375" style="152" customWidth="1"/>
    <col min="12809" max="12809" width="10.7109375" style="152" customWidth="1"/>
    <col min="12810" max="13056" width="9.140625" style="152"/>
    <col min="13057" max="13057" width="2.7109375" style="152" customWidth="1"/>
    <col min="13058" max="13058" width="21.140625" style="152" customWidth="1"/>
    <col min="13059" max="13059" width="20" style="152" customWidth="1"/>
    <col min="13060" max="13060" width="21" style="152" customWidth="1"/>
    <col min="13061" max="13061" width="19.85546875" style="152" customWidth="1"/>
    <col min="13062" max="13062" width="12.28515625" style="152" customWidth="1"/>
    <col min="13063" max="13063" width="15.28515625" style="152" customWidth="1"/>
    <col min="13064" max="13064" width="2.7109375" style="152" customWidth="1"/>
    <col min="13065" max="13065" width="10.7109375" style="152" customWidth="1"/>
    <col min="13066" max="13312" width="9.140625" style="152"/>
    <col min="13313" max="13313" width="2.7109375" style="152" customWidth="1"/>
    <col min="13314" max="13314" width="21.140625" style="152" customWidth="1"/>
    <col min="13315" max="13315" width="20" style="152" customWidth="1"/>
    <col min="13316" max="13316" width="21" style="152" customWidth="1"/>
    <col min="13317" max="13317" width="19.85546875" style="152" customWidth="1"/>
    <col min="13318" max="13318" width="12.28515625" style="152" customWidth="1"/>
    <col min="13319" max="13319" width="15.28515625" style="152" customWidth="1"/>
    <col min="13320" max="13320" width="2.7109375" style="152" customWidth="1"/>
    <col min="13321" max="13321" width="10.7109375" style="152" customWidth="1"/>
    <col min="13322" max="13568" width="9.140625" style="152"/>
    <col min="13569" max="13569" width="2.7109375" style="152" customWidth="1"/>
    <col min="13570" max="13570" width="21.140625" style="152" customWidth="1"/>
    <col min="13571" max="13571" width="20" style="152" customWidth="1"/>
    <col min="13572" max="13572" width="21" style="152" customWidth="1"/>
    <col min="13573" max="13573" width="19.85546875" style="152" customWidth="1"/>
    <col min="13574" max="13574" width="12.28515625" style="152" customWidth="1"/>
    <col min="13575" max="13575" width="15.28515625" style="152" customWidth="1"/>
    <col min="13576" max="13576" width="2.7109375" style="152" customWidth="1"/>
    <col min="13577" max="13577" width="10.7109375" style="152" customWidth="1"/>
    <col min="13578" max="13824" width="9.140625" style="152"/>
    <col min="13825" max="13825" width="2.7109375" style="152" customWidth="1"/>
    <col min="13826" max="13826" width="21.140625" style="152" customWidth="1"/>
    <col min="13827" max="13827" width="20" style="152" customWidth="1"/>
    <col min="13828" max="13828" width="21" style="152" customWidth="1"/>
    <col min="13829" max="13829" width="19.85546875" style="152" customWidth="1"/>
    <col min="13830" max="13830" width="12.28515625" style="152" customWidth="1"/>
    <col min="13831" max="13831" width="15.28515625" style="152" customWidth="1"/>
    <col min="13832" max="13832" width="2.7109375" style="152" customWidth="1"/>
    <col min="13833" max="13833" width="10.7109375" style="152" customWidth="1"/>
    <col min="13834" max="14080" width="9.140625" style="152"/>
    <col min="14081" max="14081" width="2.7109375" style="152" customWidth="1"/>
    <col min="14082" max="14082" width="21.140625" style="152" customWidth="1"/>
    <col min="14083" max="14083" width="20" style="152" customWidth="1"/>
    <col min="14084" max="14084" width="21" style="152" customWidth="1"/>
    <col min="14085" max="14085" width="19.85546875" style="152" customWidth="1"/>
    <col min="14086" max="14086" width="12.28515625" style="152" customWidth="1"/>
    <col min="14087" max="14087" width="15.28515625" style="152" customWidth="1"/>
    <col min="14088" max="14088" width="2.7109375" style="152" customWidth="1"/>
    <col min="14089" max="14089" width="10.7109375" style="152" customWidth="1"/>
    <col min="14090" max="14336" width="9.140625" style="152"/>
    <col min="14337" max="14337" width="2.7109375" style="152" customWidth="1"/>
    <col min="14338" max="14338" width="21.140625" style="152" customWidth="1"/>
    <col min="14339" max="14339" width="20" style="152" customWidth="1"/>
    <col min="14340" max="14340" width="21" style="152" customWidth="1"/>
    <col min="14341" max="14341" width="19.85546875" style="152" customWidth="1"/>
    <col min="14342" max="14342" width="12.28515625" style="152" customWidth="1"/>
    <col min="14343" max="14343" width="15.28515625" style="152" customWidth="1"/>
    <col min="14344" max="14344" width="2.7109375" style="152" customWidth="1"/>
    <col min="14345" max="14345" width="10.7109375" style="152" customWidth="1"/>
    <col min="14346" max="14592" width="9.140625" style="152"/>
    <col min="14593" max="14593" width="2.7109375" style="152" customWidth="1"/>
    <col min="14594" max="14594" width="21.140625" style="152" customWidth="1"/>
    <col min="14595" max="14595" width="20" style="152" customWidth="1"/>
    <col min="14596" max="14596" width="21" style="152" customWidth="1"/>
    <col min="14597" max="14597" width="19.85546875" style="152" customWidth="1"/>
    <col min="14598" max="14598" width="12.28515625" style="152" customWidth="1"/>
    <col min="14599" max="14599" width="15.28515625" style="152" customWidth="1"/>
    <col min="14600" max="14600" width="2.7109375" style="152" customWidth="1"/>
    <col min="14601" max="14601" width="10.7109375" style="152" customWidth="1"/>
    <col min="14602" max="14848" width="9.140625" style="152"/>
    <col min="14849" max="14849" width="2.7109375" style="152" customWidth="1"/>
    <col min="14850" max="14850" width="21.140625" style="152" customWidth="1"/>
    <col min="14851" max="14851" width="20" style="152" customWidth="1"/>
    <col min="14852" max="14852" width="21" style="152" customWidth="1"/>
    <col min="14853" max="14853" width="19.85546875" style="152" customWidth="1"/>
    <col min="14854" max="14854" width="12.28515625" style="152" customWidth="1"/>
    <col min="14855" max="14855" width="15.28515625" style="152" customWidth="1"/>
    <col min="14856" max="14856" width="2.7109375" style="152" customWidth="1"/>
    <col min="14857" max="14857" width="10.7109375" style="152" customWidth="1"/>
    <col min="14858" max="15104" width="9.140625" style="152"/>
    <col min="15105" max="15105" width="2.7109375" style="152" customWidth="1"/>
    <col min="15106" max="15106" width="21.140625" style="152" customWidth="1"/>
    <col min="15107" max="15107" width="20" style="152" customWidth="1"/>
    <col min="15108" max="15108" width="21" style="152" customWidth="1"/>
    <col min="15109" max="15109" width="19.85546875" style="152" customWidth="1"/>
    <col min="15110" max="15110" width="12.28515625" style="152" customWidth="1"/>
    <col min="15111" max="15111" width="15.28515625" style="152" customWidth="1"/>
    <col min="15112" max="15112" width="2.7109375" style="152" customWidth="1"/>
    <col min="15113" max="15113" width="10.7109375" style="152" customWidth="1"/>
    <col min="15114" max="15360" width="9.140625" style="152"/>
    <col min="15361" max="15361" width="2.7109375" style="152" customWidth="1"/>
    <col min="15362" max="15362" width="21.140625" style="152" customWidth="1"/>
    <col min="15363" max="15363" width="20" style="152" customWidth="1"/>
    <col min="15364" max="15364" width="21" style="152" customWidth="1"/>
    <col min="15365" max="15365" width="19.85546875" style="152" customWidth="1"/>
    <col min="15366" max="15366" width="12.28515625" style="152" customWidth="1"/>
    <col min="15367" max="15367" width="15.28515625" style="152" customWidth="1"/>
    <col min="15368" max="15368" width="2.7109375" style="152" customWidth="1"/>
    <col min="15369" max="15369" width="10.7109375" style="152" customWidth="1"/>
    <col min="15370" max="15616" width="9.140625" style="152"/>
    <col min="15617" max="15617" width="2.7109375" style="152" customWidth="1"/>
    <col min="15618" max="15618" width="21.140625" style="152" customWidth="1"/>
    <col min="15619" max="15619" width="20" style="152" customWidth="1"/>
    <col min="15620" max="15620" width="21" style="152" customWidth="1"/>
    <col min="15621" max="15621" width="19.85546875" style="152" customWidth="1"/>
    <col min="15622" max="15622" width="12.28515625" style="152" customWidth="1"/>
    <col min="15623" max="15623" width="15.28515625" style="152" customWidth="1"/>
    <col min="15624" max="15624" width="2.7109375" style="152" customWidth="1"/>
    <col min="15625" max="15625" width="10.7109375" style="152" customWidth="1"/>
    <col min="15626" max="15872" width="9.140625" style="152"/>
    <col min="15873" max="15873" width="2.7109375" style="152" customWidth="1"/>
    <col min="15874" max="15874" width="21.140625" style="152" customWidth="1"/>
    <col min="15875" max="15875" width="20" style="152" customWidth="1"/>
    <col min="15876" max="15876" width="21" style="152" customWidth="1"/>
    <col min="15877" max="15877" width="19.85546875" style="152" customWidth="1"/>
    <col min="15878" max="15878" width="12.28515625" style="152" customWidth="1"/>
    <col min="15879" max="15879" width="15.28515625" style="152" customWidth="1"/>
    <col min="15880" max="15880" width="2.7109375" style="152" customWidth="1"/>
    <col min="15881" max="15881" width="10.7109375" style="152" customWidth="1"/>
    <col min="15882" max="16128" width="9.140625" style="152"/>
    <col min="16129" max="16129" width="2.7109375" style="152" customWidth="1"/>
    <col min="16130" max="16130" width="21.140625" style="152" customWidth="1"/>
    <col min="16131" max="16131" width="20" style="152" customWidth="1"/>
    <col min="16132" max="16132" width="21" style="152" customWidth="1"/>
    <col min="16133" max="16133" width="19.85546875" style="152" customWidth="1"/>
    <col min="16134" max="16134" width="12.28515625" style="152" customWidth="1"/>
    <col min="16135" max="16135" width="15.28515625" style="152" customWidth="1"/>
    <col min="16136" max="16136" width="2.7109375" style="152" customWidth="1"/>
    <col min="16137" max="16137" width="10.7109375" style="152" customWidth="1"/>
    <col min="16138" max="16384" width="9.140625" style="152"/>
  </cols>
  <sheetData>
    <row r="1" spans="2:9" ht="15">
      <c r="B1" s="148" t="s">
        <v>41</v>
      </c>
      <c r="C1" s="149"/>
      <c r="D1" s="150"/>
      <c r="E1" s="150"/>
      <c r="F1" s="150"/>
      <c r="G1" s="151" t="s">
        <v>147</v>
      </c>
      <c r="H1" s="150"/>
    </row>
    <row r="2" spans="2:9">
      <c r="B2" s="153" t="s">
        <v>422</v>
      </c>
      <c r="C2" s="150"/>
      <c r="D2" s="150"/>
      <c r="E2" s="150"/>
      <c r="F2" s="335" t="s">
        <v>151</v>
      </c>
      <c r="G2" s="336" t="s">
        <v>152</v>
      </c>
      <c r="H2" s="150"/>
      <c r="I2" s="150"/>
    </row>
    <row r="3" spans="2:9" ht="16.5" thickBot="1">
      <c r="B3" s="155"/>
      <c r="C3" s="150"/>
      <c r="D3" s="150"/>
      <c r="E3" s="150"/>
      <c r="F3" s="150"/>
      <c r="G3" s="154"/>
      <c r="H3" s="150"/>
      <c r="I3" s="150"/>
    </row>
    <row r="4" spans="2:9" ht="15.75">
      <c r="B4" s="156" t="s">
        <v>148</v>
      </c>
      <c r="C4" s="157"/>
      <c r="D4" s="158"/>
      <c r="G4" s="159"/>
    </row>
    <row r="5" spans="2:9">
      <c r="B5" s="160" t="s">
        <v>149</v>
      </c>
      <c r="C5" s="161"/>
      <c r="D5" s="162"/>
    </row>
    <row r="6" spans="2:9">
      <c r="B6" s="163" t="s">
        <v>150</v>
      </c>
      <c r="C6" s="237"/>
      <c r="D6" s="164"/>
    </row>
    <row r="7" spans="2:9">
      <c r="B7" s="163" t="s">
        <v>153</v>
      </c>
      <c r="C7" s="308" t="s">
        <v>289</v>
      </c>
      <c r="D7" s="310">
        <v>78910</v>
      </c>
      <c r="E7" s="167"/>
      <c r="F7" s="166"/>
      <c r="G7" s="168"/>
    </row>
    <row r="8" spans="2:9">
      <c r="B8" s="163" t="s">
        <v>292</v>
      </c>
      <c r="C8" s="309" t="s">
        <v>288</v>
      </c>
      <c r="D8" s="310">
        <v>12346</v>
      </c>
      <c r="E8" s="167"/>
      <c r="F8" s="167"/>
    </row>
    <row r="9" spans="2:9">
      <c r="B9" s="334" t="s">
        <v>409</v>
      </c>
      <c r="C9" s="308" t="s">
        <v>145</v>
      </c>
      <c r="D9" s="502">
        <v>31168</v>
      </c>
      <c r="E9" s="167"/>
      <c r="F9" s="167"/>
    </row>
    <row r="10" spans="2:9" ht="13.5" thickBot="1">
      <c r="B10" s="169" t="s">
        <v>154</v>
      </c>
      <c r="C10" s="161"/>
      <c r="D10" s="162"/>
      <c r="E10" s="170"/>
      <c r="F10" s="167"/>
    </row>
    <row r="11" spans="2:9" ht="24.75" customHeight="1" thickBot="1">
      <c r="B11" s="616"/>
      <c r="C11" s="617"/>
      <c r="D11" s="617"/>
      <c r="E11" s="618"/>
      <c r="F11" s="167"/>
    </row>
    <row r="12" spans="2:9">
      <c r="B12" s="171"/>
      <c r="C12" s="172"/>
      <c r="D12" s="173"/>
      <c r="E12" s="167"/>
      <c r="F12" s="167"/>
    </row>
    <row r="13" spans="2:9">
      <c r="B13" s="171" t="s">
        <v>155</v>
      </c>
      <c r="C13" s="173"/>
      <c r="D13" s="173"/>
      <c r="E13" s="167"/>
      <c r="F13" s="167"/>
    </row>
    <row r="14" spans="2:9">
      <c r="E14" s="167"/>
      <c r="F14" s="167"/>
    </row>
    <row r="15" spans="2:9">
      <c r="B15" s="167" t="s">
        <v>156</v>
      </c>
      <c r="E15" s="167" t="s">
        <v>157</v>
      </c>
      <c r="F15" s="167" t="s">
        <v>158</v>
      </c>
      <c r="H15" s="167"/>
    </row>
    <row r="16" spans="2:9">
      <c r="B16" s="174" t="s">
        <v>159</v>
      </c>
      <c r="E16" s="311">
        <v>1</v>
      </c>
      <c r="F16" s="175" t="s">
        <v>160</v>
      </c>
      <c r="H16" s="173"/>
    </row>
    <row r="17" spans="2:8">
      <c r="B17" s="152" t="s">
        <v>161</v>
      </c>
      <c r="E17" s="312"/>
      <c r="F17" s="176" t="s">
        <v>162</v>
      </c>
      <c r="H17" s="173"/>
    </row>
    <row r="18" spans="2:8">
      <c r="B18" s="152" t="s">
        <v>163</v>
      </c>
      <c r="E18" s="312"/>
      <c r="F18" s="176" t="s">
        <v>164</v>
      </c>
      <c r="H18" s="173"/>
    </row>
    <row r="19" spans="2:8">
      <c r="B19" s="174" t="s">
        <v>165</v>
      </c>
      <c r="E19" s="312">
        <v>501</v>
      </c>
      <c r="F19" s="176" t="s">
        <v>166</v>
      </c>
      <c r="H19" s="173"/>
    </row>
    <row r="20" spans="2:8">
      <c r="B20" s="152" t="s">
        <v>167</v>
      </c>
      <c r="E20" s="312">
        <v>40</v>
      </c>
      <c r="F20" s="177" t="s">
        <v>168</v>
      </c>
      <c r="H20" s="173"/>
    </row>
    <row r="21" spans="2:8">
      <c r="B21" s="152" t="s">
        <v>169</v>
      </c>
      <c r="E21" s="312">
        <v>4</v>
      </c>
      <c r="F21" s="176" t="s">
        <v>170</v>
      </c>
      <c r="H21" s="173"/>
    </row>
    <row r="22" spans="2:8">
      <c r="B22" s="174" t="s">
        <v>171</v>
      </c>
      <c r="E22" s="312">
        <v>0</v>
      </c>
      <c r="F22" s="176" t="s">
        <v>160</v>
      </c>
      <c r="H22" s="173"/>
    </row>
    <row r="23" spans="2:8">
      <c r="B23" s="178" t="s">
        <v>172</v>
      </c>
      <c r="E23" s="312">
        <v>0</v>
      </c>
      <c r="F23" s="176" t="s">
        <v>160</v>
      </c>
      <c r="H23" s="173"/>
    </row>
    <row r="24" spans="2:8">
      <c r="B24" s="174" t="s">
        <v>173</v>
      </c>
      <c r="E24" s="312">
        <v>0</v>
      </c>
      <c r="F24" s="176" t="s">
        <v>160</v>
      </c>
      <c r="H24" s="173"/>
    </row>
    <row r="25" spans="2:8">
      <c r="B25" s="178" t="s">
        <v>174</v>
      </c>
      <c r="E25" s="312">
        <v>0</v>
      </c>
      <c r="F25" s="176" t="s">
        <v>160</v>
      </c>
      <c r="H25" s="173"/>
    </row>
    <row r="26" spans="2:8">
      <c r="B26" s="152" t="s">
        <v>175</v>
      </c>
      <c r="E26" s="179">
        <f>INDEX(E31:E36,E21,1)</f>
        <v>6.6408871000000005</v>
      </c>
      <c r="F26" s="176" t="s">
        <v>176</v>
      </c>
      <c r="G26" s="180"/>
      <c r="H26" s="173"/>
    </row>
    <row r="28" spans="2:8">
      <c r="B28" s="181"/>
      <c r="C28" s="182" t="s">
        <v>25</v>
      </c>
      <c r="D28" s="183" t="s">
        <v>177</v>
      </c>
      <c r="E28" s="183" t="s">
        <v>178</v>
      </c>
      <c r="F28" s="150"/>
    </row>
    <row r="29" spans="2:8">
      <c r="B29" s="181"/>
      <c r="C29" s="184" t="s">
        <v>179</v>
      </c>
      <c r="D29" s="185" t="s">
        <v>179</v>
      </c>
      <c r="E29" s="185" t="s">
        <v>179</v>
      </c>
      <c r="F29" s="150"/>
    </row>
    <row r="30" spans="2:8">
      <c r="B30" s="182" t="s">
        <v>180</v>
      </c>
      <c r="C30" s="185" t="s">
        <v>181</v>
      </c>
      <c r="D30" s="185" t="s">
        <v>181</v>
      </c>
      <c r="E30" s="185" t="s">
        <v>181</v>
      </c>
      <c r="F30" s="150"/>
    </row>
    <row r="31" spans="2:8">
      <c r="B31" s="186">
        <v>1</v>
      </c>
      <c r="C31" s="187">
        <f>(14171.7+0.982+748.355)*10^-4</f>
        <v>1.4921037000000001</v>
      </c>
      <c r="D31" s="187">
        <f>(8483.62+323.495+1139.75)*10^-4</f>
        <v>0.99468650000000025</v>
      </c>
      <c r="E31" s="187">
        <f t="shared" ref="E31:E36" si="0">C31+D31</f>
        <v>2.4867902000000006</v>
      </c>
      <c r="F31" s="152" t="s">
        <v>182</v>
      </c>
    </row>
    <row r="32" spans="2:8">
      <c r="B32" s="186">
        <v>2</v>
      </c>
      <c r="C32" s="187">
        <f>(6807.46+0.971+190.993)*10^-4</f>
        <v>0.69994240000000008</v>
      </c>
      <c r="D32" s="187">
        <f>(5788.96+302.83)*10^-4</f>
        <v>0.60917900000000003</v>
      </c>
      <c r="E32" s="187">
        <f t="shared" si="0"/>
        <v>1.3091214</v>
      </c>
      <c r="F32" s="152" t="s">
        <v>182</v>
      </c>
    </row>
    <row r="33" spans="2:6">
      <c r="B33" s="186">
        <v>3</v>
      </c>
      <c r="C33" s="187">
        <f>(62.177+0.26+154.327)*10^-4</f>
        <v>2.1676400000000002E-2</v>
      </c>
      <c r="D33" s="187">
        <f>(166.743+9.719+496.834+0.099)*10^-4</f>
        <v>6.733950000000001E-2</v>
      </c>
      <c r="E33" s="187">
        <f t="shared" si="0"/>
        <v>8.9015900000000009E-2</v>
      </c>
      <c r="F33" s="152" t="s">
        <v>182</v>
      </c>
    </row>
    <row r="34" spans="2:6">
      <c r="B34" s="186">
        <v>4</v>
      </c>
      <c r="C34" s="187">
        <f>(44784.9+1.215+303.513)*10^-4</f>
        <v>4.5089627999999999</v>
      </c>
      <c r="D34" s="187">
        <f>(20399.1+0.001+920.142)*10^-4</f>
        <v>2.1319243000000001</v>
      </c>
      <c r="E34" s="187">
        <f t="shared" si="0"/>
        <v>6.6408871000000005</v>
      </c>
      <c r="F34" s="152" t="s">
        <v>182</v>
      </c>
    </row>
    <row r="35" spans="2:6">
      <c r="B35" s="186">
        <v>5</v>
      </c>
      <c r="C35" s="187">
        <f>(8293.5+0.509+334.359)*10^-4</f>
        <v>0.86283680000000007</v>
      </c>
      <c r="D35" s="187">
        <f>(17547.3+29.052+1847.85)*10^-4</f>
        <v>1.9424201999999999</v>
      </c>
      <c r="E35" s="187">
        <f t="shared" si="0"/>
        <v>2.8052570000000001</v>
      </c>
      <c r="F35" s="152" t="s">
        <v>182</v>
      </c>
    </row>
    <row r="36" spans="2:6">
      <c r="B36" s="186">
        <v>6</v>
      </c>
      <c r="C36" s="187">
        <f>(16839.2+0.084+239.978)*10^-4</f>
        <v>1.7079261999999999</v>
      </c>
      <c r="D36" s="187">
        <f>(24890.2+115.139+0.234)*10^-4</f>
        <v>2.5005573000000001</v>
      </c>
      <c r="E36" s="187">
        <f t="shared" si="0"/>
        <v>4.2084834999999998</v>
      </c>
      <c r="F36" s="152" t="s">
        <v>182</v>
      </c>
    </row>
    <row r="38" spans="2:6">
      <c r="B38" s="152" t="s">
        <v>183</v>
      </c>
    </row>
    <row r="39" spans="2:6">
      <c r="B39" s="174" t="s">
        <v>184</v>
      </c>
    </row>
    <row r="40" spans="2:6">
      <c r="B40" s="174" t="s">
        <v>185</v>
      </c>
    </row>
    <row r="41" spans="2:6">
      <c r="B41" s="174" t="s">
        <v>186</v>
      </c>
    </row>
    <row r="42" spans="2:6">
      <c r="B42" s="174" t="s">
        <v>187</v>
      </c>
    </row>
    <row r="43" spans="2:6">
      <c r="B43" s="174" t="s">
        <v>188</v>
      </c>
    </row>
    <row r="44" spans="2:6">
      <c r="B44" s="174"/>
    </row>
    <row r="45" spans="2:6">
      <c r="B45" s="188" t="s">
        <v>189</v>
      </c>
    </row>
    <row r="46" spans="2:6">
      <c r="B46" s="174"/>
    </row>
    <row r="47" spans="2:6">
      <c r="B47" s="174"/>
    </row>
    <row r="48" spans="2:6">
      <c r="B48" s="174"/>
    </row>
    <row r="49" spans="2:8">
      <c r="B49" s="189" t="s">
        <v>190</v>
      </c>
      <c r="C49" s="150"/>
      <c r="D49" s="150"/>
      <c r="E49" s="150"/>
      <c r="F49" s="150"/>
      <c r="G49" s="150"/>
    </row>
    <row r="50" spans="2:8" ht="14.25">
      <c r="B50" s="189" t="s">
        <v>191</v>
      </c>
      <c r="C50" s="150"/>
      <c r="D50" s="150"/>
      <c r="E50" s="150"/>
      <c r="F50" s="150"/>
      <c r="G50" s="150"/>
    </row>
    <row r="51" spans="2:8">
      <c r="B51" s="189"/>
      <c r="C51" s="150"/>
      <c r="D51" s="150"/>
      <c r="E51" s="150"/>
      <c r="F51" s="150"/>
      <c r="G51" s="150"/>
    </row>
    <row r="52" spans="2:8">
      <c r="B52" s="189"/>
      <c r="C52" s="150"/>
      <c r="D52" s="150"/>
      <c r="E52" s="150"/>
      <c r="F52" s="150"/>
      <c r="G52" s="150"/>
    </row>
    <row r="53" spans="2:8">
      <c r="B53" s="190"/>
      <c r="C53" s="190"/>
      <c r="D53" s="191" t="s">
        <v>192</v>
      </c>
      <c r="E53" s="180" t="s">
        <v>193</v>
      </c>
      <c r="F53" s="192" t="s">
        <v>194</v>
      </c>
      <c r="H53" s="193"/>
    </row>
    <row r="54" spans="2:8" ht="14.25">
      <c r="B54" s="194" t="s">
        <v>195</v>
      </c>
      <c r="C54" s="195"/>
      <c r="D54" s="196">
        <f>(E16*E26)*(1-0.8)/24</f>
        <v>5.5340725833333326E-2</v>
      </c>
      <c r="E54" s="196">
        <f>D54*24</f>
        <v>1.3281774199999998</v>
      </c>
      <c r="F54" s="197">
        <f>D54*8760/2000</f>
        <v>0.24239237914999998</v>
      </c>
      <c r="H54" s="198"/>
    </row>
    <row r="55" spans="2:8" ht="14.25">
      <c r="B55" s="199" t="s">
        <v>196</v>
      </c>
      <c r="C55" s="173"/>
      <c r="D55" s="198">
        <f>E55/24</f>
        <v>0.10922400000000006</v>
      </c>
      <c r="E55" s="198">
        <f>SUM(E90:G90)+SUM(E102:G102)+SUM(E112:G112)</f>
        <v>2.6213760000000015</v>
      </c>
      <c r="F55" s="200">
        <f>D55*8760/2000</f>
        <v>0.47840112000000029</v>
      </c>
      <c r="H55" s="198"/>
    </row>
    <row r="56" spans="2:8" ht="14.25">
      <c r="B56" s="199" t="s">
        <v>197</v>
      </c>
      <c r="C56" s="173"/>
      <c r="D56" s="198">
        <f>G123/24</f>
        <v>2.6250000000000004</v>
      </c>
      <c r="E56" s="198">
        <f>G23</f>
        <v>0</v>
      </c>
      <c r="F56" s="200">
        <f>D56*8760/2000</f>
        <v>11.497500000000002</v>
      </c>
      <c r="H56" s="198"/>
    </row>
    <row r="57" spans="2:8" ht="14.25">
      <c r="B57" s="199" t="s">
        <v>198</v>
      </c>
      <c r="C57" s="173"/>
      <c r="D57" s="198">
        <f>(C74)/24*(1-0.8)</f>
        <v>6.7916666666666657E-4</v>
      </c>
      <c r="E57" s="198">
        <f>D57*24</f>
        <v>1.6299999999999999E-2</v>
      </c>
      <c r="F57" s="200">
        <f>D57*8760/2000</f>
        <v>2.97475E-3</v>
      </c>
      <c r="H57" s="198"/>
    </row>
    <row r="58" spans="2:8">
      <c r="B58" s="201" t="s">
        <v>199</v>
      </c>
      <c r="C58" s="190"/>
      <c r="D58" s="202">
        <f>((E22*9.89)+(E23*201)+(E24*3.315)+(E25*3.6))/24</f>
        <v>0</v>
      </c>
      <c r="E58" s="202">
        <f>D58*24</f>
        <v>0</v>
      </c>
      <c r="F58" s="203">
        <f>D58*8760/2000</f>
        <v>0</v>
      </c>
      <c r="H58" s="198"/>
    </row>
    <row r="59" spans="2:8">
      <c r="B59" s="184" t="s">
        <v>200</v>
      </c>
      <c r="D59" s="204">
        <f>SUM(D54:D58)</f>
        <v>2.7902438925000004</v>
      </c>
      <c r="E59" s="204">
        <f>SUM(E54:E58)</f>
        <v>3.9658534200000015</v>
      </c>
      <c r="F59" s="204">
        <f>SUM(F54:F58)</f>
        <v>12.221268249150002</v>
      </c>
      <c r="H59" s="204"/>
    </row>
    <row r="61" spans="2:8">
      <c r="C61" s="152" t="s">
        <v>201</v>
      </c>
    </row>
    <row r="62" spans="2:8">
      <c r="C62" s="174" t="s">
        <v>202</v>
      </c>
    </row>
    <row r="63" spans="2:8">
      <c r="C63" s="152" t="s">
        <v>203</v>
      </c>
    </row>
    <row r="65" spans="2:9">
      <c r="B65" s="155"/>
      <c r="C65" s="150"/>
      <c r="D65" s="150"/>
      <c r="E65" s="150"/>
      <c r="F65" s="150"/>
      <c r="G65" s="205" t="s">
        <v>204</v>
      </c>
      <c r="H65" s="150"/>
      <c r="I65" s="150"/>
    </row>
    <row r="66" spans="2:9" ht="15.75">
      <c r="B66" s="155" t="s">
        <v>205</v>
      </c>
      <c r="C66" s="150"/>
      <c r="D66" s="150"/>
      <c r="E66" s="150"/>
      <c r="F66" s="150"/>
      <c r="G66" s="154"/>
      <c r="H66" s="150"/>
      <c r="I66" s="150"/>
    </row>
    <row r="67" spans="2:9" ht="15.75">
      <c r="B67" s="155"/>
      <c r="C67" s="150"/>
      <c r="D67" s="150"/>
      <c r="E67" s="150"/>
      <c r="F67" s="150"/>
      <c r="G67" s="154"/>
      <c r="H67" s="150"/>
      <c r="I67" s="150"/>
    </row>
    <row r="68" spans="2:9">
      <c r="B68" s="206" t="s">
        <v>206</v>
      </c>
    </row>
    <row r="70" spans="2:9">
      <c r="B70" s="152" t="s">
        <v>207</v>
      </c>
      <c r="C70" s="178">
        <f>E16</f>
        <v>1</v>
      </c>
      <c r="D70" s="178" t="s">
        <v>160</v>
      </c>
    </row>
    <row r="71" spans="2:9">
      <c r="B71" s="152" t="s">
        <v>208</v>
      </c>
      <c r="C71" s="178">
        <f>(C70*0.0097)</f>
        <v>9.7000000000000003E-3</v>
      </c>
      <c r="D71" s="205" t="s">
        <v>209</v>
      </c>
    </row>
    <row r="72" spans="2:9">
      <c r="B72" s="152" t="s">
        <v>210</v>
      </c>
      <c r="C72" s="178">
        <f>(C70*0.0039)</f>
        <v>3.8999999999999998E-3</v>
      </c>
      <c r="D72" s="205" t="s">
        <v>209</v>
      </c>
    </row>
    <row r="73" spans="2:9" ht="13.5" thickBot="1">
      <c r="B73" s="174" t="s">
        <v>211</v>
      </c>
      <c r="C73" s="207">
        <f>(C70*0.0679)</f>
        <v>6.7900000000000002E-2</v>
      </c>
      <c r="D73" s="205" t="s">
        <v>209</v>
      </c>
    </row>
    <row r="74" spans="2:9">
      <c r="B74" s="152" t="s">
        <v>212</v>
      </c>
      <c r="C74" s="208">
        <f>SUM(C71:C73)</f>
        <v>8.1500000000000003E-2</v>
      </c>
      <c r="D74" s="205" t="s">
        <v>209</v>
      </c>
    </row>
    <row r="76" spans="2:9">
      <c r="B76" s="209" t="s">
        <v>213</v>
      </c>
      <c r="C76" s="180"/>
      <c r="D76" s="180"/>
    </row>
    <row r="77" spans="2:9">
      <c r="B77" s="181"/>
      <c r="C77" s="180"/>
      <c r="D77" s="180"/>
    </row>
    <row r="78" spans="2:9">
      <c r="B78" s="174" t="s">
        <v>214</v>
      </c>
      <c r="C78" s="174" t="s">
        <v>215</v>
      </c>
    </row>
    <row r="79" spans="2:9">
      <c r="B79" s="174" t="s">
        <v>216</v>
      </c>
      <c r="C79" s="180"/>
      <c r="D79" s="180"/>
    </row>
    <row r="80" spans="2:9">
      <c r="B80" s="174"/>
      <c r="C80" s="180" t="s">
        <v>217</v>
      </c>
      <c r="D80" s="180" t="s">
        <v>218</v>
      </c>
    </row>
    <row r="81" spans="2:10" ht="14.25">
      <c r="B81" s="152" t="s">
        <v>219</v>
      </c>
      <c r="C81" s="210">
        <v>9.4100000000000003E-2</v>
      </c>
      <c r="D81" s="180">
        <v>0.13800000000000001</v>
      </c>
      <c r="E81" s="211" t="s">
        <v>220</v>
      </c>
    </row>
    <row r="82" spans="2:10" ht="14.25">
      <c r="B82" s="152" t="s">
        <v>221</v>
      </c>
      <c r="C82" s="210">
        <v>1.26E-2</v>
      </c>
      <c r="D82" s="180">
        <v>1.7999999999999999E-2</v>
      </c>
      <c r="E82" s="211" t="s">
        <v>220</v>
      </c>
    </row>
    <row r="83" spans="2:10" ht="14.25">
      <c r="B83" s="152" t="s">
        <v>222</v>
      </c>
      <c r="C83" s="210">
        <v>5.7999999999999996E-3</v>
      </c>
      <c r="D83" s="180">
        <v>8.6999999999999994E-3</v>
      </c>
      <c r="E83" s="211" t="s">
        <v>220</v>
      </c>
    </row>
    <row r="84" spans="2:10">
      <c r="C84" s="180"/>
      <c r="D84" s="180"/>
    </row>
    <row r="85" spans="2:10">
      <c r="C85" s="180"/>
      <c r="D85" s="184" t="s">
        <v>223</v>
      </c>
    </row>
    <row r="86" spans="2:10" ht="15" thickBot="1">
      <c r="B86" s="212" t="s">
        <v>224</v>
      </c>
      <c r="C86" s="213" t="s">
        <v>225</v>
      </c>
      <c r="D86" s="213" t="s">
        <v>226</v>
      </c>
      <c r="E86" s="213" t="s">
        <v>219</v>
      </c>
      <c r="F86" s="213" t="s">
        <v>221</v>
      </c>
      <c r="G86" s="213" t="s">
        <v>222</v>
      </c>
      <c r="H86" s="173"/>
      <c r="I86" s="173"/>
      <c r="J86" s="173"/>
    </row>
    <row r="87" spans="2:10" ht="14.25">
      <c r="B87" s="313" t="s">
        <v>227</v>
      </c>
      <c r="C87" s="314">
        <v>1</v>
      </c>
      <c r="D87" s="315">
        <v>36</v>
      </c>
      <c r="E87" s="214">
        <f>IF(AND($E$20&gt;1,$E$20&lt;30),($C$81*$D87)*(1-0.7),($D$81*$D87)*(1-0.7))</f>
        <v>1.4904000000000002</v>
      </c>
      <c r="F87" s="215"/>
      <c r="G87" s="216"/>
    </row>
    <row r="88" spans="2:10">
      <c r="B88" s="316"/>
      <c r="C88" s="317"/>
      <c r="D88" s="318"/>
      <c r="E88" s="198"/>
      <c r="F88" s="214">
        <f>IF(AND($E$20&gt;1,$E$20&lt;30),($C$82*D88),($D$82*D88))</f>
        <v>0</v>
      </c>
      <c r="G88" s="164"/>
    </row>
    <row r="89" spans="2:10" ht="13.5" thickBot="1">
      <c r="B89" s="331"/>
      <c r="C89" s="326"/>
      <c r="D89" s="333"/>
      <c r="E89" s="217"/>
      <c r="F89" s="217"/>
      <c r="G89" s="218">
        <f>IF(AND($E$20&gt;1,$E$20&lt;30),($C$83*$D89),($D$83*$D89))</f>
        <v>0</v>
      </c>
    </row>
    <row r="90" spans="2:10">
      <c r="B90" s="219" t="s">
        <v>228</v>
      </c>
      <c r="C90" s="220"/>
      <c r="D90" s="220"/>
      <c r="E90" s="198">
        <f>SUM(E87:E89)</f>
        <v>1.4904000000000002</v>
      </c>
      <c r="F90" s="198">
        <f>SUM(F87:F89)</f>
        <v>0</v>
      </c>
      <c r="G90" s="198">
        <f>SUM(G87:G89)</f>
        <v>0</v>
      </c>
    </row>
    <row r="91" spans="2:10" ht="15">
      <c r="B91" s="174" t="s">
        <v>229</v>
      </c>
      <c r="C91" s="180"/>
      <c r="D91" s="180"/>
    </row>
    <row r="92" spans="2:10">
      <c r="C92" s="180"/>
      <c r="D92" s="180"/>
    </row>
    <row r="93" spans="2:10">
      <c r="B93" s="209" t="s">
        <v>230</v>
      </c>
      <c r="C93" s="180"/>
      <c r="D93" s="180"/>
    </row>
    <row r="94" spans="2:10">
      <c r="C94" s="180"/>
      <c r="D94" s="180"/>
    </row>
    <row r="95" spans="2:10" ht="15">
      <c r="B95" s="174" t="s">
        <v>231</v>
      </c>
      <c r="C95" s="221">
        <v>0.85</v>
      </c>
      <c r="D95" s="180"/>
    </row>
    <row r="96" spans="2:10">
      <c r="B96" s="174"/>
      <c r="C96" s="180"/>
      <c r="D96" s="180"/>
    </row>
    <row r="97" spans="2:7">
      <c r="C97" s="180"/>
      <c r="D97" s="184" t="s">
        <v>223</v>
      </c>
    </row>
    <row r="98" spans="2:7" ht="15" thickBot="1">
      <c r="B98" s="212" t="s">
        <v>224</v>
      </c>
      <c r="C98" s="213" t="s">
        <v>225</v>
      </c>
      <c r="D98" s="213" t="s">
        <v>226</v>
      </c>
      <c r="E98" s="213" t="s">
        <v>219</v>
      </c>
      <c r="F98" s="213" t="s">
        <v>221</v>
      </c>
      <c r="G98" s="213" t="s">
        <v>222</v>
      </c>
    </row>
    <row r="99" spans="2:7">
      <c r="B99" s="319"/>
      <c r="C99" s="314"/>
      <c r="D99" s="320"/>
      <c r="E99" s="214">
        <f>IF(AND($E$20&gt;1,$E$20&lt;30),($C$81*$D99)*(1-0.85),($D$81*$D99)*(1-0.85))</f>
        <v>0</v>
      </c>
      <c r="F99" s="215"/>
      <c r="G99" s="216"/>
    </row>
    <row r="100" spans="2:7">
      <c r="B100" s="316"/>
      <c r="C100" s="317"/>
      <c r="D100" s="330"/>
      <c r="E100" s="198"/>
      <c r="F100" s="214">
        <f>IF(AND(E$20&gt;1,E$20&lt;30),($C$82*D100)*(1-0.85),($D$82*D100)*(1-0.85))</f>
        <v>0</v>
      </c>
      <c r="G100" s="164"/>
    </row>
    <row r="101" spans="2:7" ht="13.5" thickBot="1">
      <c r="B101" s="331"/>
      <c r="C101" s="326"/>
      <c r="D101" s="332"/>
      <c r="E101" s="217"/>
      <c r="F101" s="217"/>
      <c r="G101" s="218">
        <f>IF(AND($E$20&gt;1,$E$20&lt;30),($C$83*$D101)*(1-0.85),($D$83*$D101)*(1-0.85))</f>
        <v>0</v>
      </c>
    </row>
    <row r="102" spans="2:7">
      <c r="C102" s="180"/>
      <c r="D102" s="180"/>
      <c r="E102" s="222">
        <f>SUM(E99:E101)</f>
        <v>0</v>
      </c>
      <c r="F102" s="222">
        <f>SUM(F99:F101)</f>
        <v>0</v>
      </c>
      <c r="G102" s="222">
        <f>SUM(G99:G101)</f>
        <v>0</v>
      </c>
    </row>
    <row r="103" spans="2:7">
      <c r="B103" s="209" t="s">
        <v>232</v>
      </c>
      <c r="C103" s="180"/>
      <c r="D103" s="180"/>
    </row>
    <row r="104" spans="2:7">
      <c r="C104" s="180"/>
      <c r="D104" s="180"/>
    </row>
    <row r="105" spans="2:7" ht="15">
      <c r="B105" s="174" t="s">
        <v>231</v>
      </c>
      <c r="C105" s="221">
        <v>0.95</v>
      </c>
      <c r="D105" s="180"/>
    </row>
    <row r="106" spans="2:7">
      <c r="B106" s="174"/>
      <c r="C106" s="180"/>
      <c r="D106" s="180"/>
    </row>
    <row r="107" spans="2:7">
      <c r="C107" s="180"/>
      <c r="D107" s="184" t="s">
        <v>223</v>
      </c>
    </row>
    <row r="108" spans="2:7" ht="15" thickBot="1">
      <c r="B108" s="212" t="s">
        <v>224</v>
      </c>
      <c r="C108" s="213" t="s">
        <v>225</v>
      </c>
      <c r="D108" s="213" t="s">
        <v>226</v>
      </c>
      <c r="E108" s="213" t="s">
        <v>219</v>
      </c>
      <c r="F108" s="213" t="s">
        <v>221</v>
      </c>
      <c r="G108" s="213" t="s">
        <v>222</v>
      </c>
    </row>
    <row r="109" spans="2:7">
      <c r="B109" s="328"/>
      <c r="C109" s="314"/>
      <c r="D109" s="314"/>
      <c r="E109" s="214">
        <f>IF(AND($E$20&gt;1,$E$20&lt;30),($C$81*$D109)*(1-0.95),($D$81*$D109)*(1-0.95))</f>
        <v>0</v>
      </c>
      <c r="F109" s="215"/>
      <c r="G109" s="216"/>
    </row>
    <row r="110" spans="2:7">
      <c r="B110" s="316" t="s">
        <v>290</v>
      </c>
      <c r="C110" s="317">
        <v>243546</v>
      </c>
      <c r="D110" s="317">
        <v>1256.6400000000001</v>
      </c>
      <c r="E110" s="198"/>
      <c r="F110" s="214">
        <f>IF(AND($E$20&gt;1,$E$20&lt;30),($C$82*D110)*(1-0.95),($D$82*D110)*(1-0.95))</f>
        <v>1.1309760000000011</v>
      </c>
      <c r="G110" s="164"/>
    </row>
    <row r="111" spans="2:7" ht="13.5" thickBot="1">
      <c r="B111" s="329"/>
      <c r="C111" s="326"/>
      <c r="D111" s="326"/>
      <c r="E111" s="217"/>
      <c r="F111" s="217"/>
      <c r="G111" s="218">
        <f>IF(AND($E$20&gt;1,$E$20&lt;30),($C$83*$D111)*(1-0.95),($D$83*$D111)*(1-0.95))</f>
        <v>0</v>
      </c>
    </row>
    <row r="112" spans="2:7">
      <c r="C112" s="180"/>
      <c r="D112" s="180"/>
      <c r="E112" s="222">
        <f>SUM(E109:E111)</f>
        <v>0</v>
      </c>
      <c r="F112" s="222">
        <f>SUM(F109:F111)</f>
        <v>1.1309760000000011</v>
      </c>
      <c r="G112" s="222">
        <f>SUM(G109:G111)</f>
        <v>0</v>
      </c>
    </row>
    <row r="113" spans="2:7">
      <c r="B113" s="209" t="s">
        <v>233</v>
      </c>
      <c r="C113" s="180"/>
      <c r="D113" s="180"/>
    </row>
    <row r="114" spans="2:7">
      <c r="B114" s="209"/>
      <c r="C114" s="180"/>
      <c r="D114" s="180"/>
    </row>
    <row r="115" spans="2:7">
      <c r="B115" s="174" t="s">
        <v>234</v>
      </c>
      <c r="C115" s="174" t="s">
        <v>235</v>
      </c>
    </row>
    <row r="116" spans="2:7">
      <c r="B116" s="174" t="s">
        <v>236</v>
      </c>
      <c r="C116" s="223">
        <v>560</v>
      </c>
      <c r="D116" s="174" t="s">
        <v>237</v>
      </c>
    </row>
    <row r="117" spans="2:7">
      <c r="B117" s="209"/>
      <c r="C117" s="180"/>
      <c r="D117" s="180"/>
    </row>
    <row r="118" spans="2:7">
      <c r="C118" s="180"/>
      <c r="D118" s="224" t="s">
        <v>238</v>
      </c>
      <c r="E118" s="150"/>
      <c r="F118" s="150"/>
      <c r="G118" s="225" t="s">
        <v>239</v>
      </c>
    </row>
    <row r="119" spans="2:7" ht="13.5" thickBot="1">
      <c r="B119" s="212" t="s">
        <v>224</v>
      </c>
      <c r="C119" s="213" t="s">
        <v>240</v>
      </c>
      <c r="D119" s="226" t="s">
        <v>241</v>
      </c>
      <c r="E119" s="226" t="s">
        <v>242</v>
      </c>
      <c r="F119" s="226" t="s">
        <v>243</v>
      </c>
      <c r="G119" s="227" t="s">
        <v>244</v>
      </c>
    </row>
    <row r="120" spans="2:7">
      <c r="B120" s="321" t="s">
        <v>291</v>
      </c>
      <c r="C120" s="322">
        <v>0.75</v>
      </c>
      <c r="D120" s="323">
        <f>(C120*560*(1-0.85))</f>
        <v>63.000000000000007</v>
      </c>
      <c r="E120" s="222"/>
      <c r="F120" s="222"/>
      <c r="G120" s="229"/>
    </row>
    <row r="121" spans="2:7">
      <c r="B121" s="321"/>
      <c r="C121" s="322"/>
      <c r="D121" s="324"/>
      <c r="E121" s="228">
        <f>D120*(C121*560*(1-0.95))</f>
        <v>0</v>
      </c>
      <c r="F121" s="222"/>
      <c r="G121" s="230"/>
    </row>
    <row r="122" spans="2:7" ht="13.5" thickBot="1">
      <c r="B122" s="325"/>
      <c r="C122" s="326"/>
      <c r="D122" s="327"/>
      <c r="E122" s="217"/>
      <c r="F122" s="231">
        <f>(C122*560)</f>
        <v>0</v>
      </c>
      <c r="G122" s="232"/>
    </row>
    <row r="123" spans="2:7">
      <c r="C123" s="180"/>
      <c r="D123" s="228">
        <f>SUM(D120:D122)</f>
        <v>63.000000000000007</v>
      </c>
      <c r="E123" s="228">
        <f>SUM(E120:E122)</f>
        <v>0</v>
      </c>
      <c r="F123" s="228">
        <f>SUM(F120:F122)</f>
        <v>0</v>
      </c>
      <c r="G123" s="233">
        <f>SUM(D123:F123)</f>
        <v>63.000000000000007</v>
      </c>
    </row>
    <row r="124" spans="2:7">
      <c r="C124" s="180"/>
      <c r="D124" s="180"/>
    </row>
    <row r="125" spans="2:7">
      <c r="B125" s="165"/>
      <c r="G125" s="180"/>
    </row>
    <row r="126" spans="2:7">
      <c r="G126" s="180"/>
    </row>
  </sheetData>
  <mergeCells count="1">
    <mergeCell ref="B11:E11"/>
  </mergeCells>
  <printOptions gridLinesSet="0"/>
  <pageMargins left="1" right="0.99" top="1" bottom="1" header="0.5" footer="0.5"/>
  <pageSetup scale="72" fitToHeight="2" orientation="portrait" r:id="rId1"/>
  <headerFooter alignWithMargins="0"/>
  <rowBreaks count="1" manualBreakCount="1">
    <brk id="64" min="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9.2.1</vt:lpstr>
      <vt:lpstr>9.2.2</vt:lpstr>
      <vt:lpstr>9.2.3</vt:lpstr>
      <vt:lpstr>9.2.4</vt:lpstr>
      <vt:lpstr>9.2.5</vt:lpstr>
      <vt:lpstr>9.2.6</vt:lpstr>
      <vt:lpstr>9.2.7</vt:lpstr>
      <vt:lpstr>9.2.8</vt:lpstr>
      <vt:lpstr>9.2.9a FHC CLP Emissions</vt:lpstr>
      <vt:lpstr>9.2.9b FHC Emission Factors</vt:lpstr>
      <vt:lpstr>9.2.9c FHC Control Factors</vt:lpstr>
      <vt:lpstr>9.2.10</vt:lpstr>
      <vt:lpstr>'9.2.10'!Print_Area</vt:lpstr>
      <vt:lpstr>'9.2.7'!Print_Area</vt:lpstr>
      <vt:lpstr>'9.2.9c FHC Control Factors'!Print_Area</vt:lpstr>
      <vt:lpstr>'9.2.10'!Print_Titles</vt:lpstr>
      <vt:lpstr>'9.2.9a FHC CLP Emissions'!Print_Titles</vt:lpstr>
      <vt:lpstr>'9.2.9c FHC Control Factors'!Print_Titles</vt:lpstr>
    </vt:vector>
  </TitlesOfParts>
  <Company>SBCAPCD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D. McCaffrey</dc:creator>
  <cp:lastModifiedBy>Ben Ellenberger</cp:lastModifiedBy>
  <cp:lastPrinted>2013-03-28T16:54:15Z</cp:lastPrinted>
  <dcterms:created xsi:type="dcterms:W3CDTF">2012-11-13T17:55:34Z</dcterms:created>
  <dcterms:modified xsi:type="dcterms:W3CDTF">2014-01-06T18:48:48Z</dcterms:modified>
</cp:coreProperties>
</file>